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75" windowWidth="13620" windowHeight="4665" tabRatio="656" activeTab="0"/>
  </bookViews>
  <sheets>
    <sheet name="MAYO 15 - 2015" sheetId="1" r:id="rId1"/>
  </sheets>
  <definedNames>
    <definedName name="_xlnm.Print_Titles" localSheetId="0">'MAYO 15 - 2015'!$1:$2</definedName>
  </definedNames>
  <calcPr fullCalcOnLoad="1"/>
</workbook>
</file>

<file path=xl/comments1.xml><?xml version="1.0" encoding="utf-8"?>
<comments xmlns="http://schemas.openxmlformats.org/spreadsheetml/2006/main">
  <authors>
    <author>df</author>
    <author>red udnet</author>
  </authors>
  <commentList>
    <comment ref="E10" authorId="0">
      <text>
        <r>
          <rPr>
            <b/>
            <sz val="9"/>
            <rFont val="Tahoma"/>
            <family val="2"/>
          </rPr>
          <t>de:</t>
        </r>
        <r>
          <rPr>
            <sz val="9"/>
            <rFont val="Tahoma"/>
            <family val="2"/>
          </rPr>
          <t xml:space="preserve">
Sandra Velázquez el 27 de enero de 2015</t>
        </r>
      </text>
    </comment>
    <comment ref="A29" authorId="0">
      <text>
        <r>
          <rPr>
            <b/>
            <sz val="9"/>
            <rFont val="Tahoma"/>
            <family val="2"/>
          </rPr>
          <t>de:</t>
        </r>
        <r>
          <rPr>
            <sz val="9"/>
            <rFont val="Tahoma"/>
            <family val="2"/>
          </rPr>
          <t xml:space="preserve">
El rubro esta desfinanciado así: $140.000.000 para equipos, $20.000.000 Hornos : total $ 160.000.000
</t>
        </r>
      </text>
    </comment>
    <comment ref="E35" authorId="0">
      <text>
        <r>
          <rPr>
            <b/>
            <sz val="9"/>
            <rFont val="Tahoma"/>
            <family val="2"/>
          </rPr>
          <t>de:</t>
        </r>
        <r>
          <rPr>
            <sz val="9"/>
            <rFont val="Tahoma"/>
            <family val="2"/>
          </rPr>
          <t xml:space="preserve">
E. Pinilla el 27 de enero de 2015</t>
        </r>
      </text>
    </comment>
    <comment ref="M37" authorId="0">
      <text>
        <r>
          <rPr>
            <b/>
            <sz val="9"/>
            <rFont val="Tahoma"/>
            <family val="2"/>
          </rPr>
          <t>df:</t>
        </r>
        <r>
          <rPr>
            <sz val="9"/>
            <rFont val="Tahoma"/>
            <family val="2"/>
          </rPr>
          <t xml:space="preserve">
$30,200,000 correspónden a arrendamiento espacios TECAL</t>
        </r>
      </text>
    </comment>
    <comment ref="A42" authorId="0">
      <text>
        <r>
          <rPr>
            <b/>
            <sz val="9"/>
            <rFont val="Tahoma"/>
            <family val="2"/>
          </rPr>
          <t>de:</t>
        </r>
        <r>
          <rPr>
            <sz val="9"/>
            <rFont val="Tahoma"/>
            <family val="2"/>
          </rPr>
          <t xml:space="preserve">
El Rubro esta desfinanciado en $ 40.000.000 con destino a Internet.</t>
        </r>
      </text>
    </comment>
    <comment ref="D50" authorId="1">
      <text>
        <r>
          <rPr>
            <b/>
            <sz val="9"/>
            <rFont val="Tahoma"/>
            <family val="2"/>
          </rPr>
          <t>red udnet:</t>
        </r>
        <r>
          <rPr>
            <sz val="9"/>
            <rFont val="Tahoma"/>
            <family val="2"/>
          </rPr>
          <t xml:space="preserve">
Proyección contrato  para 10 meses 4 días, desde el 12 e febrero de 2015 hasta el 15 de diciembre de 2015</t>
        </r>
      </text>
    </comment>
    <comment ref="D52" authorId="1">
      <text>
        <r>
          <rPr>
            <b/>
            <sz val="9"/>
            <rFont val="Tahoma"/>
            <family val="2"/>
          </rPr>
          <t>red udnet:</t>
        </r>
        <r>
          <rPr>
            <sz val="9"/>
            <rFont val="Tahoma"/>
            <family val="2"/>
          </rPr>
          <t xml:space="preserve">
Proyectado contrato para 9 meses y 10 días, desde el 1 marzo de 2015, hasta el 10 de diciembre de 2015</t>
        </r>
      </text>
    </comment>
    <comment ref="A67" authorId="0">
      <text>
        <r>
          <rPr>
            <b/>
            <sz val="9"/>
            <rFont val="Tahoma"/>
            <family val="2"/>
          </rPr>
          <t>de:</t>
        </r>
        <r>
          <rPr>
            <sz val="9"/>
            <rFont val="Tahoma"/>
            <family val="2"/>
          </rPr>
          <t xml:space="preserve">
</t>
        </r>
      </text>
    </comment>
    <comment ref="D74" authorId="1">
      <text>
        <r>
          <rPr>
            <b/>
            <sz val="8"/>
            <rFont val="Tahoma"/>
            <family val="2"/>
          </rPr>
          <t>red udnet:</t>
        </r>
        <r>
          <rPr>
            <sz val="8"/>
            <rFont val="Tahoma"/>
            <family val="2"/>
          </rPr>
          <t xml:space="preserve">
Este valor incluye: ECOCAPITAL Y ASEO CAPITAL</t>
        </r>
      </text>
    </comment>
  </commentList>
</comments>
</file>

<file path=xl/sharedStrings.xml><?xml version="1.0" encoding="utf-8"?>
<sst xmlns="http://schemas.openxmlformats.org/spreadsheetml/2006/main" count="496" uniqueCount="243">
  <si>
    <t>GASTOS DE COMPUTADOR</t>
  </si>
  <si>
    <t>MATERIALES Y SUMINISTROS</t>
  </si>
  <si>
    <t>COMBUSTIBLES, LUBRICANTES Y LLANTAS</t>
  </si>
  <si>
    <t>COMITÉ DE LABORATORIOS</t>
  </si>
  <si>
    <t>GASTOS DE TRANSPORTE Y COMUNICACIÓN ADMINISTRATIVOS</t>
  </si>
  <si>
    <t>TIPOLOGÍA</t>
  </si>
  <si>
    <t>COMPRA DE EQUIPOS</t>
  </si>
  <si>
    <t>ARRENDAMIENTOS</t>
  </si>
  <si>
    <t>RED DE DATOS UDNET</t>
  </si>
  <si>
    <t>Servicio de aseo y cafetería para la Universidad Distrital</t>
  </si>
  <si>
    <t>Servicios de mantenimiento a todo tipo de equipos de laboratorios</t>
  </si>
  <si>
    <t>RED UDNET</t>
  </si>
  <si>
    <t>SEGUROS</t>
  </si>
  <si>
    <t xml:space="preserve">Servicio de vigilancia </t>
  </si>
  <si>
    <t>Suministros de elementos consumibles de papelería y de oficina</t>
  </si>
  <si>
    <t>Suministro de tonners para fotocopiadoras e impresoras</t>
  </si>
  <si>
    <t>Suministro de reactivos y todo tipo de material consumible para laboratorio</t>
  </si>
  <si>
    <t>Servicio de fotocopiado para las diferentes sedes de la universidad</t>
  </si>
  <si>
    <t>TOTAL RUBRO</t>
  </si>
  <si>
    <t xml:space="preserve">SERVICIOS PUBLICOS </t>
  </si>
  <si>
    <t>Suministro de todo tipo de dotaciones para el personal (Convención Trabajadores oficiales)</t>
  </si>
  <si>
    <t>Bombillería especializada</t>
  </si>
  <si>
    <t>Servicios para la renovación de la suscripción en revistas y /o bases de datos especializadas, construdata etc.</t>
  </si>
  <si>
    <t xml:space="preserve">Servicios de mensajería </t>
  </si>
  <si>
    <t>TIPO DE CONTRATACION SEGÚN MONTO</t>
  </si>
  <si>
    <t>Contratación Directa</t>
  </si>
  <si>
    <t>Invitación Directa</t>
  </si>
  <si>
    <t>Convocatoria Pública</t>
  </si>
  <si>
    <t>ENERGIA</t>
  </si>
  <si>
    <t xml:space="preserve">COMCEL </t>
  </si>
  <si>
    <t xml:space="preserve">ECOCAPITAL </t>
  </si>
  <si>
    <t xml:space="preserve">ACUEDUCTO </t>
  </si>
  <si>
    <t>GAS</t>
  </si>
  <si>
    <t>Mantenimiento preventivo y correctivo con partes  de impresoras, teléfonos, fax, escáner y  video beam.</t>
  </si>
  <si>
    <t>Centros de Atención CADE (OQRA)</t>
  </si>
  <si>
    <t xml:space="preserve">Oficina - PIGA </t>
  </si>
  <si>
    <t>Internet</t>
  </si>
  <si>
    <t xml:space="preserve">MANTENIMIENTO Y REPARACIONES </t>
  </si>
  <si>
    <t xml:space="preserve">PLAN DE INVERSIÓN </t>
  </si>
  <si>
    <t>COMPONENTE</t>
  </si>
  <si>
    <t>SECCIÓN DE COMPRAS</t>
  </si>
  <si>
    <t>DOTACIÓN</t>
  </si>
  <si>
    <t xml:space="preserve">PLAN DE F U N C I O N A M I E N T O </t>
  </si>
  <si>
    <t>SECCION DE COMPRAS</t>
  </si>
  <si>
    <t>Suministro de todo tipo de combustibles (Gasolina, ACPM y Gas)</t>
  </si>
  <si>
    <t>VAF-SECCION DE COMPRAS</t>
  </si>
  <si>
    <t>ETB- TELEFONICA/CLARO</t>
  </si>
  <si>
    <t>Contratación Directa-Invitaciones Directas -Convocatorias Publicas</t>
  </si>
  <si>
    <t>VAF-SECCION COMPRAS</t>
  </si>
  <si>
    <t>RESPONSABLE DE LA GESTION  DEL PROCESO DE CONTRATACIÓN</t>
  </si>
  <si>
    <t>FORMULACION DEL ESTUDIO DE CONVENIENCIA Y OPORTUNIDAD</t>
  </si>
  <si>
    <t>379-Construcción Nueva Sede Universitaria Ciudadela el Porvenir Bosa</t>
  </si>
  <si>
    <t>380-Mejoramiento y Ampliación de la Infraestructura Física de la Universidad</t>
  </si>
  <si>
    <t>4149-Dotación Laboratorios U.D.</t>
  </si>
  <si>
    <t xml:space="preserve">Adquisición de equipos robustos </t>
  </si>
  <si>
    <t>378-Promoción De La Investigación Y Desarrollo Científico</t>
  </si>
  <si>
    <t>Formación de investigadores</t>
  </si>
  <si>
    <t>Apoyo a grupos de investigación</t>
  </si>
  <si>
    <t xml:space="preserve">Divulgación y socialización </t>
  </si>
  <si>
    <t>Plan de formación docente</t>
  </si>
  <si>
    <t>Fortalecimiento doctorados existentes (incluye adquisición de equipos )</t>
  </si>
  <si>
    <t xml:space="preserve">Fortalecimiento doctorado en curso </t>
  </si>
  <si>
    <t xml:space="preserve">188- Sistema Integral de Información </t>
  </si>
  <si>
    <t>CIDC</t>
  </si>
  <si>
    <t>TOTAL RUBRO 378-Promoción De La Investigación Y Desarrollo Científico</t>
  </si>
  <si>
    <t>TOTAL RUBRO 4149-Dotación Laboratorios U.D.</t>
  </si>
  <si>
    <t>Convocatoria/ Invitación Directa / Contratación Directa</t>
  </si>
  <si>
    <t>TOTAL RUBRO 4150-Dotación Y Actualización Biblioteca</t>
  </si>
  <si>
    <t>COMITÉ DE BIBLIOTECA</t>
  </si>
  <si>
    <t>TOTAL RUBRO 379-Construcción Nueva Sede Universitaria Ciudadela el Porvenir Bosa</t>
  </si>
  <si>
    <t>RECTORIA</t>
  </si>
  <si>
    <t>TOTAL RUBRO 380-Mejoramiento y Ampliación de la Infraestructura Física de la Universidad</t>
  </si>
  <si>
    <t xml:space="preserve">TOTAL RUBRO 188- Sistema Integral de Información </t>
  </si>
  <si>
    <t xml:space="preserve">ASEO CAPITAL </t>
  </si>
  <si>
    <t xml:space="preserve"> </t>
  </si>
  <si>
    <t xml:space="preserve">A N E X O   0 1 </t>
  </si>
  <si>
    <t>TOTAL PLAN FUNCIONAMIENTO / INVERSIÓN VIGENCIA 2014</t>
  </si>
  <si>
    <t>Audiovisuales</t>
  </si>
  <si>
    <t>Software</t>
  </si>
  <si>
    <t>Otros arrendamientos ( Incluye espacios facultad de Artes)</t>
  </si>
  <si>
    <t>Sede Nueva Santa Fe -facultad de Artes</t>
  </si>
  <si>
    <t>Sede Publicaciones y Alternativa</t>
  </si>
  <si>
    <t>Mantenimiento para el aire acondicionado del centro de gestión olimpo edificio Sabio Caldas, Aduanilla de Paiba y Macarena A</t>
  </si>
  <si>
    <t xml:space="preserve">Calibración del certificador </t>
  </si>
  <si>
    <t>PLAN DE CONTRATACIÓN DE LA UNIVERSIDAD DISTRITAL VIGENCIA 2015</t>
  </si>
  <si>
    <t>VIGENCIA 2015</t>
  </si>
  <si>
    <t>VALOR ASIGNADO 2015 ( Res. 048-2014 CSU)</t>
  </si>
  <si>
    <t>Servicios de publicación en todo tipo de avisos en diarios de publicación nacional</t>
  </si>
  <si>
    <t>Suministro de partes para mantenimiento correctivo, equipos y servidores</t>
  </si>
  <si>
    <t>Adquisición  de software de todo tipo de licencias (Licencias de ORACLE en Sistemas de Misión Crítica, y software para apoyo a la misión critica de la OAS)</t>
  </si>
  <si>
    <t>Actualización del plan de continuidad del negocio</t>
  </si>
  <si>
    <t>Licencias Oficina de Publicaciones</t>
  </si>
  <si>
    <t>PUBLICACIONES-SECCION DE COMPRAS</t>
  </si>
  <si>
    <t>Servicio de empaste de los documentos de archivos de la División de Recursos Financieros</t>
  </si>
  <si>
    <t>D.R. FINANCIEROS-SECCION DE COMPRAS</t>
  </si>
  <si>
    <t>Soporte y garantía extendida para la infraestructura de telecomunicaciones marca CISCO y otros switches</t>
  </si>
  <si>
    <t>Mantenimiento a Equipos Servidores OAS</t>
  </si>
  <si>
    <t xml:space="preserve">VIGENCIA 2015 </t>
  </si>
  <si>
    <t>Julio 1 de 2015</t>
  </si>
  <si>
    <t>16 DE FEBRERO DE 2015</t>
  </si>
  <si>
    <t>28 DE ENERO DE 2015</t>
  </si>
  <si>
    <t>30 DE ENERO DE 2015</t>
  </si>
  <si>
    <t>18 DE MARZO DE 2015</t>
  </si>
  <si>
    <t>15 DE JULIO DE 2015</t>
  </si>
  <si>
    <t>1 DE JUNIO DE 2015</t>
  </si>
  <si>
    <t>1 DE JULIO DE 2015</t>
  </si>
  <si>
    <t>25 DE FEBRERO DE 2015</t>
  </si>
  <si>
    <t>26 DE ENERO DE 2015</t>
  </si>
  <si>
    <t>12 DE MARZO DE 2015</t>
  </si>
  <si>
    <t>Mantenimiento Infraestructura Procesamiento UDNET</t>
  </si>
  <si>
    <t>1 DE AGOSTO DE 2015</t>
  </si>
  <si>
    <t>8 DE ABRIL DE 2015</t>
  </si>
  <si>
    <t xml:space="preserve">
15 DE JULIO DE 2015
</t>
  </si>
  <si>
    <t>15 DE MARZO DE 2015</t>
  </si>
  <si>
    <t xml:space="preserve">15 DE MARZO DE 2015  </t>
  </si>
  <si>
    <t>10 DE MARZO DE 2015</t>
  </si>
  <si>
    <t>15 DE FEBRERO DE 2015</t>
  </si>
  <si>
    <t>3 DE FEBRERO DE 2015</t>
  </si>
  <si>
    <t>15 ABRIL DE 2015</t>
  </si>
  <si>
    <t xml:space="preserve">Contratación Directa </t>
  </si>
  <si>
    <t>RED DE DATOS UDNET - SECCIÓN COMPRAS</t>
  </si>
  <si>
    <t>COMITÉ LABORATORIOS  - SECCION DE COMPRAS</t>
  </si>
  <si>
    <t>RED DE DATOS -SECCION DE COMPRAS</t>
  </si>
  <si>
    <t xml:space="preserve"> OFICINA ASESORA DE PLANEACIÓN Y CONTROL - OFICINA ASESORA JURIDICA</t>
  </si>
  <si>
    <t>COMITÉ LABORATORIOS - VAF - SECCIÓN COMPRAS</t>
  </si>
  <si>
    <t>RED DE DATOS - SECCION DE COMPRAS</t>
  </si>
  <si>
    <t>OFICINA ASESORA DE SISTEMAS</t>
  </si>
  <si>
    <t>DIVISIÓN RECURSOS HUMANOS</t>
  </si>
  <si>
    <t xml:space="preserve">SECCIÓN PUBLICACIONES - COMITÉ INFORMÁTICA </t>
  </si>
  <si>
    <t>DIVISIÓN DE RECURSOS FÍSICOS</t>
  </si>
  <si>
    <t>VICERRECTORÍA  ACADÉMICA</t>
  </si>
  <si>
    <t>RED DE DATOS UDNET- VICERRECTORÍA ADMINISTRATIVA Y FINANCIERA</t>
  </si>
  <si>
    <t>VICERRECTORÍA ADMINISTRATIVA Y FINANCIERA</t>
  </si>
  <si>
    <t>DIVISIÓN DE RECURSOS FÍSICOS ( DRF)</t>
  </si>
  <si>
    <t>DRF - VICERRECTORÍA ADMINISTRATIVA Y FINANCIERA</t>
  </si>
  <si>
    <t>VICERRECTORÍA ADMINISTRATIVA Y FINANCIERA -RED UDNET-COMPRAS</t>
  </si>
  <si>
    <t>VICERRECTORÍA ADMINISTRATIVA Y FINANCIERA - RED DE DATOS</t>
  </si>
  <si>
    <t>OFICINA ASESORA DE SISTEMAS ( OAS)</t>
  </si>
  <si>
    <t>OAS-VICERRECTORÍA ADMINISTRATIVA Y FINANCIERA</t>
  </si>
  <si>
    <t>RED DE DATOS UDNET-VICERRECTORÍA ADMINISTRATIVA Y FINANCIERA</t>
  </si>
  <si>
    <t>DIVISIÓN RECURSOS FÍSICOS - VICERRECTORÍA ADMINISTRATIVA Y FINANCIERA</t>
  </si>
  <si>
    <t>DRF- VICERRECTORÍA ADMINISTRATIVA Y FINANCIERA- SECCION COMPRAS</t>
  </si>
  <si>
    <t>OAS- VICERRECTORÍA ADMINISTRATIVA Y FINANCIERA</t>
  </si>
  <si>
    <t>RED DE DATOS UDNET - VAF</t>
  </si>
  <si>
    <t xml:space="preserve">RED DE DATOS UDNET </t>
  </si>
  <si>
    <t>RED DE DATOS UDENET - SECCION DE COMPRAS</t>
  </si>
  <si>
    <t>VICERRECTORÍA ADMINISTRATIVA Y FINANCIERA (V. A. F.)</t>
  </si>
  <si>
    <t>DIVISIÓN DE RECURSOS FINANCIEROS</t>
  </si>
  <si>
    <t>12 DE FEBRERO DE 2015</t>
  </si>
  <si>
    <t>Adquisición de seguros generales</t>
  </si>
  <si>
    <t>Adquisición de seguro estudiantil</t>
  </si>
  <si>
    <t>DIRECCIÓN DE BIENESTAR INSTITUCIONAL</t>
  </si>
  <si>
    <t>2 DE MAYO DE 2015</t>
  </si>
  <si>
    <t>DIRECCIÓN DE BIENESTAR INSTITUCIONAL - VICERRECTORÍA ADMINISTRATIVA Y FINANCIERA</t>
  </si>
  <si>
    <t>29 DE MAYO DE 2015</t>
  </si>
  <si>
    <t>25 DE AGOSTO DE 2015</t>
  </si>
  <si>
    <t>Computadores y Telecomunicaciones</t>
  </si>
  <si>
    <t>VIGENCIA</t>
  </si>
  <si>
    <t>4150-Dotación  y Actualización Biblioteca</t>
  </si>
  <si>
    <t>Servicios Bibliográficos</t>
  </si>
  <si>
    <t>Infraestructura Tecnológica</t>
  </si>
  <si>
    <t>Colecciones con Información Bibliográfica</t>
  </si>
  <si>
    <t>Red de datos UDNET</t>
  </si>
  <si>
    <t>Sistema Institucional de Información</t>
  </si>
  <si>
    <t>Planes TIC</t>
  </si>
  <si>
    <t>RITA</t>
  </si>
  <si>
    <t>Convocatoria Pública / Invitación Directa / Contratación Directa</t>
  </si>
  <si>
    <t>RED DE DATOS  UDNET</t>
  </si>
  <si>
    <t>COMITÉ PLANES TIC</t>
  </si>
  <si>
    <t>Mobiliario y señalización de la Fase I</t>
  </si>
  <si>
    <t>OFICINA ASESORA DE PLANEACIÓN Y CONTROL</t>
  </si>
  <si>
    <t>BIENESTAR INSTITUCIONAL</t>
  </si>
  <si>
    <t>2 DE FEBRERO DE 2015</t>
  </si>
  <si>
    <t xml:space="preserve"> VICERRECTORÍA ADMINISTRATIVA Y FINANCIERA</t>
  </si>
  <si>
    <t>PROGRAMA DE APOYO ALIMENTARIO</t>
  </si>
  <si>
    <t>Suministro y Distribución de almuerzos diarios para los estudiantes de pre-grado</t>
  </si>
  <si>
    <t>DIRECCIÓN RITA</t>
  </si>
  <si>
    <t>Elaboración de instrumento de gestión urbana para el desarrollo de los predios El Ensueño y Calle 40</t>
  </si>
  <si>
    <t>Implementación del Sistema de Administración de la Planta Física</t>
  </si>
  <si>
    <t>Construcción para ampliación de la infraestructura física en las sedes Macarena B y Tecnológica (Laboratorios Macarena B, licenciamiento, y estudios previos Facultad Tecnológica)</t>
  </si>
  <si>
    <t>Evaluación y ajuste al Plan Maestro de Desarrollo Físico</t>
  </si>
  <si>
    <t>Eventos académicos y de investigación</t>
  </si>
  <si>
    <t>Fondo de investigaciones</t>
  </si>
  <si>
    <t>Apoyo a ponencia de investigadores</t>
  </si>
  <si>
    <t xml:space="preserve">Red de semilleros de investigación </t>
  </si>
  <si>
    <t>Apoyo a revistas institucionales</t>
  </si>
  <si>
    <t>Apoyo a empresas tipo Spin Off</t>
  </si>
  <si>
    <t>Cofinanciación de  proyectos de investigación</t>
  </si>
  <si>
    <t>Política de apoyo al programa de jóvenes investigadores</t>
  </si>
  <si>
    <t>Sistemas de información para el apoyo al sistema de investigaciones</t>
  </si>
  <si>
    <t>Fomento de Redes de Investigaciones de Tecnología Avanzada</t>
  </si>
  <si>
    <t>Campañas educativas, acompañamientos, logísticas  y otros.</t>
  </si>
  <si>
    <t>Sede Calle 64- Posgrados-</t>
  </si>
  <si>
    <t>Pago del arrendamiento del Densímetro Nuclear a Ingeominas- F. Tecnológica.</t>
  </si>
  <si>
    <t xml:space="preserve">Mantenimientos generales (físicos, eléctricos,  a equipos , vehículos y demás). Se incluye la adquisición de suministros y herramientas necesarias. </t>
  </si>
  <si>
    <t>Mantenimiento a la solución de telefonía IP Marca Avaya</t>
  </si>
  <si>
    <t>T O T A L    P L A N  D E  C O N T R A T A C I O N   
F U N C I O N A M I E N T O</t>
  </si>
  <si>
    <t>Música, Sonido, Luces</t>
  </si>
  <si>
    <t>Pago radicaciones de impuestos en curaduría, materiales e insumos (Aduanilla de Paiba, Macarena B, otros)</t>
  </si>
  <si>
    <t>389-Desarrollo Y Fortalecimiento Doctorados y Maestrías</t>
  </si>
  <si>
    <t>TOTAL RUBRO 389-Desarrollo Y Fortalecimiento Doctorados y Maestrías</t>
  </si>
  <si>
    <t>T O T A L    P L A N  D E  C O N T R A T A C I O N   INVERSION</t>
  </si>
  <si>
    <t>FECHA DE APERTURA DEL PROCESO</t>
  </si>
  <si>
    <t>Invitación Directa/ Contratación Directa</t>
  </si>
  <si>
    <t>Carnetización (Adquisición de Unidades de tarjetas para impresiones, cintas para impresiones, kit de limpieza, Adaptaciones, Acoples eléctricos y electrónicos y demás elementos necesarios para garantizar la prestación del servicios)</t>
  </si>
  <si>
    <t>2 DE NOVIEMBRE DE 2015</t>
  </si>
  <si>
    <t>Renovación Campus y otros (Emisora, Autocad, Adobe,  Campus, Software Web y Red Hat) Software administrativos.</t>
  </si>
  <si>
    <t xml:space="preserve">5 DE MARZO DE 2015
</t>
  </si>
  <si>
    <t>26 DE MARZO DE 2015</t>
  </si>
  <si>
    <t>Insumos para Telecomunicaciones</t>
  </si>
  <si>
    <t xml:space="preserve">Adquisición de equipos  </t>
  </si>
  <si>
    <t>Convocatoria Pública/Invitación Directa/ Contratación Directa</t>
  </si>
  <si>
    <t xml:space="preserve">
17 DE AGOSOTO DE 2015 
</t>
  </si>
  <si>
    <t>Invitación Directa/Contratación Directa</t>
  </si>
  <si>
    <t xml:space="preserve">SEGÚN ESPECIFICIDAD Y MANTENIMIENTO Y/O GARANTÍA DE LOS EQUIPOS </t>
  </si>
  <si>
    <t>Promoción e implantación de los procesos de gestión de propiedad intelectual</t>
  </si>
  <si>
    <t>Diseño del Sistema de edificación</t>
  </si>
  <si>
    <t>EJECUCIÓN RUBRO EN RP</t>
  </si>
  <si>
    <t>SALDO CDP-RP</t>
  </si>
  <si>
    <t>SALDO EN ACTIVIDAD A NIVEL DE RP</t>
  </si>
  <si>
    <t>% EJECUCIÓN FINAL</t>
  </si>
  <si>
    <t>SALDO EN SOLICITUD DE CDP EN PPTO</t>
  </si>
  <si>
    <t>IMPRESOS Y PUBLICACIONES ADMINISTRATIVOS</t>
  </si>
  <si>
    <t>PLAN DE INVERSIÓN</t>
  </si>
  <si>
    <t xml:space="preserve">EJECUCIÓN PLAN DE F U N C I O N A M I E N T O </t>
  </si>
  <si>
    <t>EJECUCIÓN GASTOS DE COMPUTADOR</t>
  </si>
  <si>
    <t>EJECUCIÓN COMBUSTIBLES, LUBRICANTES Y LLANTAS</t>
  </si>
  <si>
    <t>EJECUCIÓN MATERIALES Y SUMINISTROS</t>
  </si>
  <si>
    <t>EJECUCIÓN COMPRA DE EQUIPO</t>
  </si>
  <si>
    <t>EJECUCIÓN ARRENDAMIENTOS</t>
  </si>
  <si>
    <t>EJECUCIÓN GASTOS DE TRANSPORTE Y COMUICACIONES ADMINISTRATIVOS</t>
  </si>
  <si>
    <t>EJECUCIÓN IMPRESOS Y PUBLICACIONES ADMINISTRATIVOS</t>
  </si>
  <si>
    <t xml:space="preserve">EJECUCIÓN MANTENIMIENTO Y REPARACIONES </t>
  </si>
  <si>
    <t>EJECUCIÓN SEGUROS</t>
  </si>
  <si>
    <t>EJECUCIÓN PROGRAMA DE APOYO ALIMENTARIO</t>
  </si>
  <si>
    <t>EJECUCIÓN 378-Promoción De La Investigación Y Desarrollo Científico</t>
  </si>
  <si>
    <t>EJECUCIÓN 4149-Dotación Laboratorios U.D</t>
  </si>
  <si>
    <t>DOTACIÓN 4150-Dotación  y Actualización Biblioteca</t>
  </si>
  <si>
    <t xml:space="preserve">EJECUCIÓN 188- Sistema Integral de Información </t>
  </si>
  <si>
    <t>EJECUCIÓN 380-Mejoramiento y Ampliación de la Infraestructura Física de la Universidad</t>
  </si>
  <si>
    <t>EJECUCIÓN 389-Desarrollo Y Fortalecimiento Doctorados y Maestrías</t>
  </si>
  <si>
    <t>APROPIACION DE CDP A MAYO 15 -2015</t>
  </si>
  <si>
    <t>APROPIACION DE CDP A MAYO  15 -2015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</si>
</sst>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pta&quot;_-;\-* #,##0.00\ &quot;pta&quot;_-;_-* &quot;-&quot;??\ &quot;pta&quot;_-;_-@_-"/>
    <numFmt numFmtId="165" formatCode="_([$$-240A]\ * #,##0_);_([$$-240A]\ * \(#,##0\);_([$$-240A]\ * &quot;-&quot;??_);_(@_)"/>
    <numFmt numFmtId="166" formatCode="_(&quot;$&quot;\ * #,##0_);_(&quot;$&quot;\ * \(#,##0\);_(&quot;$&quot;\ * &quot;-&quot;??_);_(@_)"/>
    <numFmt numFmtId="167" formatCode="&quot;$&quot;\ #,##0.00;[Red]&quot;$&quot;\ #,##0.00"/>
    <numFmt numFmtId="168" formatCode="_([$$-240A]\ * #,##0.00_);_([$$-240A]\ * \(#,##0.00\);_([$$-240A]\ 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b/>
      <sz val="8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37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165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1" xfId="48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65" fontId="4" fillId="12" borderId="14" xfId="48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165" fontId="4" fillId="33" borderId="16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165" fontId="4" fillId="33" borderId="16" xfId="48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165" fontId="3" fillId="33" borderId="10" xfId="48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65" fontId="3" fillId="33" borderId="17" xfId="48" applyNumberFormat="1" applyFont="1" applyFill="1" applyBorder="1" applyAlignment="1">
      <alignment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/>
    </xf>
    <xf numFmtId="165" fontId="3" fillId="33" borderId="10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justify" vertical="center" wrapText="1"/>
    </xf>
    <xf numFmtId="166" fontId="3" fillId="0" borderId="10" xfId="50" applyNumberFormat="1" applyFont="1" applyFill="1" applyBorder="1" applyAlignment="1">
      <alignment vertical="center"/>
    </xf>
    <xf numFmtId="37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47" fillId="33" borderId="21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vertical="center"/>
    </xf>
    <xf numFmtId="10" fontId="2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 vertical="center"/>
    </xf>
    <xf numFmtId="167" fontId="2" fillId="33" borderId="23" xfId="0" applyNumberFormat="1" applyFont="1" applyFill="1" applyBorder="1" applyAlignment="1">
      <alignment vertical="center"/>
    </xf>
    <xf numFmtId="10" fontId="2" fillId="33" borderId="2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67" fontId="2" fillId="33" borderId="22" xfId="0" applyNumberFormat="1" applyFont="1" applyFill="1" applyBorder="1" applyAlignment="1">
      <alignment vertical="center"/>
    </xf>
    <xf numFmtId="10" fontId="2" fillId="33" borderId="22" xfId="0" applyNumberFormat="1" applyFont="1" applyFill="1" applyBorder="1" applyAlignment="1">
      <alignment vertical="center"/>
    </xf>
    <xf numFmtId="167" fontId="13" fillId="18" borderId="10" xfId="0" applyNumberFormat="1" applyFont="1" applyFill="1" applyBorder="1" applyAlignment="1">
      <alignment vertical="center"/>
    </xf>
    <xf numFmtId="168" fontId="13" fillId="18" borderId="10" xfId="0" applyNumberFormat="1" applyFont="1" applyFill="1" applyBorder="1" applyAlignment="1">
      <alignment vertical="center"/>
    </xf>
    <xf numFmtId="10" fontId="13" fillId="18" borderId="10" xfId="0" applyNumberFormat="1" applyFont="1" applyFill="1" applyBorder="1" applyAlignment="1">
      <alignment vertical="center"/>
    </xf>
    <xf numFmtId="165" fontId="13" fillId="18" borderId="10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2" fillId="11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7" fontId="13" fillId="34" borderId="10" xfId="0" applyNumberFormat="1" applyFont="1" applyFill="1" applyBorder="1" applyAlignment="1">
      <alignment vertical="center"/>
    </xf>
    <xf numFmtId="168" fontId="13" fillId="34" borderId="10" xfId="0" applyNumberFormat="1" applyFont="1" applyFill="1" applyBorder="1" applyAlignment="1">
      <alignment vertical="center"/>
    </xf>
    <xf numFmtId="10" fontId="13" fillId="34" borderId="10" xfId="0" applyNumberFormat="1" applyFont="1" applyFill="1" applyBorder="1" applyAlignment="1">
      <alignment vertical="center"/>
    </xf>
    <xf numFmtId="0" fontId="2" fillId="18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165" fontId="4" fillId="18" borderId="17" xfId="0" applyNumberFormat="1" applyFont="1" applyFill="1" applyBorder="1" applyAlignment="1">
      <alignment vertical="center" wrapText="1"/>
    </xf>
    <xf numFmtId="165" fontId="4" fillId="18" borderId="14" xfId="0" applyNumberFormat="1" applyFont="1" applyFill="1" applyBorder="1" applyAlignment="1">
      <alignment vertical="center" wrapText="1"/>
    </xf>
    <xf numFmtId="165" fontId="4" fillId="34" borderId="17" xfId="0" applyNumberFormat="1" applyFont="1" applyFill="1" applyBorder="1" applyAlignment="1">
      <alignment vertical="center"/>
    </xf>
    <xf numFmtId="165" fontId="4" fillId="18" borderId="14" xfId="48" applyNumberFormat="1" applyFont="1" applyFill="1" applyBorder="1" applyAlignment="1">
      <alignment vertical="center"/>
    </xf>
    <xf numFmtId="165" fontId="4" fillId="18" borderId="24" xfId="48" applyNumberFormat="1" applyFont="1" applyFill="1" applyBorder="1" applyAlignment="1">
      <alignment vertical="center"/>
    </xf>
    <xf numFmtId="165" fontId="4" fillId="18" borderId="25" xfId="48" applyNumberFormat="1" applyFont="1" applyFill="1" applyBorder="1" applyAlignment="1">
      <alignment vertical="center"/>
    </xf>
    <xf numFmtId="168" fontId="13" fillId="18" borderId="0" xfId="0" applyNumberFormat="1" applyFont="1" applyFill="1" applyAlignment="1">
      <alignment vertical="center"/>
    </xf>
    <xf numFmtId="165" fontId="4" fillId="18" borderId="11" xfId="48" applyNumberFormat="1" applyFont="1" applyFill="1" applyBorder="1" applyAlignment="1">
      <alignment vertical="center"/>
    </xf>
    <xf numFmtId="164" fontId="2" fillId="33" borderId="0" xfId="48" applyFont="1" applyFill="1" applyAlignment="1">
      <alignment vertical="center"/>
    </xf>
    <xf numFmtId="164" fontId="2" fillId="0" borderId="0" xfId="48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47" fillId="35" borderId="21" xfId="0" applyFont="1" applyFill="1" applyBorder="1" applyAlignment="1">
      <alignment horizontal="justify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/>
    </xf>
    <xf numFmtId="165" fontId="3" fillId="35" borderId="10" xfId="48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167" fontId="2" fillId="35" borderId="10" xfId="0" applyNumberFormat="1" applyFont="1" applyFill="1" applyBorder="1" applyAlignment="1">
      <alignment vertical="center"/>
    </xf>
    <xf numFmtId="10" fontId="2" fillId="35" borderId="10" xfId="0" applyNumberFormat="1" applyFont="1" applyFill="1" applyBorder="1" applyAlignment="1">
      <alignment vertical="center"/>
    </xf>
    <xf numFmtId="168" fontId="2" fillId="35" borderId="10" xfId="0" applyNumberFormat="1" applyFont="1" applyFill="1" applyBorder="1" applyAlignment="1">
      <alignment vertical="center"/>
    </xf>
    <xf numFmtId="165" fontId="4" fillId="34" borderId="10" xfId="48" applyNumberFormat="1" applyFont="1" applyFill="1" applyBorder="1" applyAlignment="1">
      <alignment vertical="center" wrapText="1"/>
    </xf>
    <xf numFmtId="3" fontId="2" fillId="36" borderId="26" xfId="46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67" fontId="2" fillId="33" borderId="0" xfId="0" applyNumberFormat="1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8" fillId="11" borderId="28" xfId="0" applyNumberFormat="1" applyFont="1" applyFill="1" applyBorder="1" applyAlignment="1">
      <alignment horizontal="center" vertical="center"/>
    </xf>
    <xf numFmtId="49" fontId="8" fillId="11" borderId="24" xfId="0" applyNumberFormat="1" applyFont="1" applyFill="1" applyBorder="1" applyAlignment="1">
      <alignment horizontal="center" vertical="center"/>
    </xf>
    <xf numFmtId="49" fontId="8" fillId="11" borderId="14" xfId="0" applyNumberFormat="1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65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49" fontId="8" fillId="11" borderId="15" xfId="0" applyNumberFormat="1" applyFont="1" applyFill="1" applyBorder="1" applyAlignment="1">
      <alignment horizontal="center" vertical="center"/>
    </xf>
    <xf numFmtId="49" fontId="8" fillId="11" borderId="16" xfId="0" applyNumberFormat="1" applyFont="1" applyFill="1" applyBorder="1" applyAlignment="1">
      <alignment horizontal="center" vertical="center"/>
    </xf>
    <xf numFmtId="49" fontId="8" fillId="11" borderId="17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49" fontId="8" fillId="11" borderId="33" xfId="0" applyNumberFormat="1" applyFont="1" applyFill="1" applyBorder="1" applyAlignment="1">
      <alignment horizontal="center" vertical="center"/>
    </xf>
    <xf numFmtId="49" fontId="8" fillId="11" borderId="34" xfId="0" applyNumberFormat="1" applyFont="1" applyFill="1" applyBorder="1" applyAlignment="1">
      <alignment horizontal="center" vertical="center"/>
    </xf>
    <xf numFmtId="49" fontId="8" fillId="11" borderId="35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justify" vertical="center"/>
    </xf>
    <xf numFmtId="49" fontId="3" fillId="33" borderId="27" xfId="0" applyNumberFormat="1" applyFont="1" applyFill="1" applyBorder="1" applyAlignment="1">
      <alignment horizontal="justify" vertical="center"/>
    </xf>
    <xf numFmtId="49" fontId="3" fillId="33" borderId="23" xfId="0" applyNumberFormat="1" applyFont="1" applyFill="1" applyBorder="1" applyAlignment="1">
      <alignment horizontal="justify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/>
    </xf>
    <xf numFmtId="0" fontId="13" fillId="18" borderId="16" xfId="0" applyFont="1" applyFill="1" applyBorder="1" applyAlignment="1">
      <alignment horizontal="center" vertical="center"/>
    </xf>
    <xf numFmtId="0" fontId="13" fillId="18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4" fillId="11" borderId="39" xfId="0" applyFont="1" applyFill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3" xfId="54"/>
    <cellStyle name="Normal_NECESIDAD200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P146"/>
  <sheetViews>
    <sheetView tabSelected="1" zoomScale="90" zoomScaleNormal="90" zoomScaleSheetLayoutView="90" zoomScalePageLayoutView="0" workbookViewId="0" topLeftCell="A1">
      <selection activeCell="J150" sqref="J150"/>
    </sheetView>
  </sheetViews>
  <sheetFormatPr defaultColWidth="11.421875" defaultRowHeight="30" customHeight="1"/>
  <cols>
    <col min="1" max="1" width="34.7109375" style="9" customWidth="1"/>
    <col min="2" max="2" width="19.28125" style="10" customWidth="1"/>
    <col min="3" max="3" width="19.421875" style="2" hidden="1" customWidth="1"/>
    <col min="4" max="4" width="18.421875" style="2" customWidth="1"/>
    <col min="5" max="5" width="17.421875" style="2" hidden="1" customWidth="1"/>
    <col min="6" max="6" width="17.7109375" style="2" hidden="1" customWidth="1"/>
    <col min="7" max="7" width="19.8515625" style="1" customWidth="1"/>
    <col min="8" max="8" width="19.7109375" style="1" customWidth="1"/>
    <col min="9" max="9" width="19.00390625" style="1" bestFit="1" customWidth="1"/>
    <col min="10" max="10" width="21.00390625" style="1" customWidth="1"/>
    <col min="11" max="11" width="12.00390625" style="1" customWidth="1"/>
    <col min="12" max="12" width="3.421875" style="1" customWidth="1"/>
    <col min="13" max="13" width="21.140625" style="1" customWidth="1"/>
    <col min="14" max="14" width="11.421875" style="1" customWidth="1"/>
    <col min="15" max="15" width="17.28125" style="1" bestFit="1" customWidth="1"/>
    <col min="16" max="16" width="18.57421875" style="1" bestFit="1" customWidth="1"/>
    <col min="17" max="16384" width="11.421875" style="1" customWidth="1"/>
  </cols>
  <sheetData>
    <row r="1" spans="1:13" s="2" customFormat="1" ht="21.75" customHeight="1" thickBot="1">
      <c r="A1" s="175" t="s">
        <v>84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3" s="2" customFormat="1" ht="14.25" customHeight="1" thickBot="1">
      <c r="A2" s="178" t="s">
        <v>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2" customFormat="1" ht="19.5" customHeight="1" thickBot="1">
      <c r="A3" s="179" t="s">
        <v>42</v>
      </c>
      <c r="B3" s="180"/>
      <c r="C3" s="180"/>
      <c r="D3" s="180"/>
      <c r="E3" s="180"/>
      <c r="F3" s="181"/>
      <c r="G3" s="182" t="s">
        <v>224</v>
      </c>
      <c r="H3" s="183"/>
      <c r="I3" s="183"/>
      <c r="J3" s="183"/>
      <c r="K3" s="184"/>
      <c r="M3" s="62"/>
    </row>
    <row r="4" spans="1:13" s="2" customFormat="1" ht="44.25" customHeight="1" thickBot="1">
      <c r="A4" s="5" t="s">
        <v>5</v>
      </c>
      <c r="B4" s="5" t="s">
        <v>50</v>
      </c>
      <c r="C4" s="5" t="s">
        <v>24</v>
      </c>
      <c r="D4" s="5" t="s">
        <v>86</v>
      </c>
      <c r="E4" s="5" t="s">
        <v>202</v>
      </c>
      <c r="F4" s="5" t="s">
        <v>49</v>
      </c>
      <c r="G4" s="41" t="s">
        <v>241</v>
      </c>
      <c r="H4" s="41" t="s">
        <v>217</v>
      </c>
      <c r="I4" s="41" t="s">
        <v>218</v>
      </c>
      <c r="J4" s="41" t="s">
        <v>219</v>
      </c>
      <c r="K4" s="41" t="s">
        <v>220</v>
      </c>
      <c r="M4" s="5" t="s">
        <v>221</v>
      </c>
    </row>
    <row r="5" spans="1:13" s="2" customFormat="1" ht="20.25" customHeight="1" thickBot="1">
      <c r="A5" s="147" t="s">
        <v>41</v>
      </c>
      <c r="B5" s="148"/>
      <c r="C5" s="148"/>
      <c r="D5" s="148"/>
      <c r="E5" s="148"/>
      <c r="F5" s="165"/>
      <c r="G5" s="153" t="s">
        <v>41</v>
      </c>
      <c r="H5" s="154"/>
      <c r="I5" s="154"/>
      <c r="J5" s="154"/>
      <c r="K5" s="155"/>
      <c r="L5" s="11"/>
      <c r="M5" s="56"/>
    </row>
    <row r="6" spans="1:13" s="2" customFormat="1" ht="36" customHeight="1" thickBot="1">
      <c r="A6" s="35" t="s">
        <v>20</v>
      </c>
      <c r="B6" s="13" t="s">
        <v>127</v>
      </c>
      <c r="C6" s="25" t="s">
        <v>25</v>
      </c>
      <c r="D6" s="22">
        <v>37934000</v>
      </c>
      <c r="E6" s="13" t="s">
        <v>115</v>
      </c>
      <c r="F6" s="13" t="s">
        <v>43</v>
      </c>
      <c r="G6" s="42">
        <v>0</v>
      </c>
      <c r="H6" s="42">
        <v>0</v>
      </c>
      <c r="I6" s="42">
        <f>G6-H6</f>
        <v>0</v>
      </c>
      <c r="J6" s="42">
        <f>D6-H6</f>
        <v>37934000</v>
      </c>
      <c r="K6" s="43">
        <f>H6/D6</f>
        <v>0</v>
      </c>
      <c r="M6" s="44">
        <f>D6-G6</f>
        <v>37934000</v>
      </c>
    </row>
    <row r="7" spans="1:13" ht="18" customHeight="1" thickBot="1">
      <c r="A7" s="106" t="s">
        <v>18</v>
      </c>
      <c r="B7" s="107"/>
      <c r="C7" s="108"/>
      <c r="D7" s="66">
        <f>D6</f>
        <v>37934000</v>
      </c>
      <c r="E7" s="135"/>
      <c r="F7" s="137"/>
      <c r="G7" s="50">
        <v>0</v>
      </c>
      <c r="H7" s="50">
        <v>0</v>
      </c>
      <c r="I7" s="50">
        <f>G7-H7</f>
        <v>0</v>
      </c>
      <c r="J7" s="50">
        <f>D7-H7</f>
        <v>37934000</v>
      </c>
      <c r="K7" s="52">
        <f>H7/D7</f>
        <v>0</v>
      </c>
      <c r="L7" s="57"/>
      <c r="M7" s="51">
        <f>M6</f>
        <v>37934000</v>
      </c>
    </row>
    <row r="8" spans="1:13" s="2" customFormat="1" ht="18.75" customHeight="1" thickBot="1">
      <c r="A8" s="172" t="s">
        <v>0</v>
      </c>
      <c r="B8" s="173"/>
      <c r="C8" s="173"/>
      <c r="D8" s="173"/>
      <c r="E8" s="173"/>
      <c r="F8" s="174"/>
      <c r="G8" s="103" t="s">
        <v>225</v>
      </c>
      <c r="H8" s="104"/>
      <c r="I8" s="104"/>
      <c r="J8" s="104"/>
      <c r="K8" s="105"/>
      <c r="M8" s="56"/>
    </row>
    <row r="9" spans="1:13" s="2" customFormat="1" ht="32.25" customHeight="1" thickBot="1">
      <c r="A9" s="35" t="s">
        <v>88</v>
      </c>
      <c r="B9" s="13" t="s">
        <v>8</v>
      </c>
      <c r="C9" s="25" t="s">
        <v>25</v>
      </c>
      <c r="D9" s="22">
        <v>20000000</v>
      </c>
      <c r="E9" s="13" t="s">
        <v>205</v>
      </c>
      <c r="F9" s="13" t="s">
        <v>120</v>
      </c>
      <c r="G9" s="42">
        <v>0</v>
      </c>
      <c r="H9" s="42">
        <v>0</v>
      </c>
      <c r="I9" s="42">
        <f>G9-H9</f>
        <v>0</v>
      </c>
      <c r="J9" s="42">
        <f>D9-H9</f>
        <v>20000000</v>
      </c>
      <c r="K9" s="43">
        <f>H9/D9</f>
        <v>0</v>
      </c>
      <c r="M9" s="44">
        <f>D9-G9</f>
        <v>20000000</v>
      </c>
    </row>
    <row r="10" spans="1:13" s="2" customFormat="1" ht="36" customHeight="1" thickBot="1">
      <c r="A10" s="35" t="s">
        <v>91</v>
      </c>
      <c r="B10" s="13" t="s">
        <v>128</v>
      </c>
      <c r="C10" s="13" t="s">
        <v>203</v>
      </c>
      <c r="D10" s="22">
        <v>70000000</v>
      </c>
      <c r="E10" s="13" t="s">
        <v>106</v>
      </c>
      <c r="F10" s="13" t="s">
        <v>92</v>
      </c>
      <c r="G10" s="42">
        <v>0</v>
      </c>
      <c r="H10" s="42">
        <v>0</v>
      </c>
      <c r="I10" s="42">
        <f>G10-H10</f>
        <v>0</v>
      </c>
      <c r="J10" s="42">
        <f>D10-H10</f>
        <v>70000000</v>
      </c>
      <c r="K10" s="43">
        <f>H10/D10</f>
        <v>0</v>
      </c>
      <c r="M10" s="44">
        <f>D10-G10</f>
        <v>70000000</v>
      </c>
    </row>
    <row r="11" spans="1:13" s="2" customFormat="1" ht="36.75" customHeight="1" thickBot="1">
      <c r="A11" s="35" t="s">
        <v>90</v>
      </c>
      <c r="B11" s="13" t="s">
        <v>137</v>
      </c>
      <c r="C11" s="25" t="s">
        <v>25</v>
      </c>
      <c r="D11" s="22">
        <v>40000000</v>
      </c>
      <c r="E11" s="86" t="s">
        <v>113</v>
      </c>
      <c r="F11" s="13" t="s">
        <v>138</v>
      </c>
      <c r="G11" s="42">
        <v>0</v>
      </c>
      <c r="H11" s="42">
        <v>0</v>
      </c>
      <c r="I11" s="42">
        <f>G11-H11</f>
        <v>0</v>
      </c>
      <c r="J11" s="42">
        <f>D11-H11</f>
        <v>40000000</v>
      </c>
      <c r="K11" s="43">
        <f>H11/D11</f>
        <v>0</v>
      </c>
      <c r="M11" s="44">
        <f>D11-G11</f>
        <v>40000000</v>
      </c>
    </row>
    <row r="12" spans="1:13" s="2" customFormat="1" ht="60.75" customHeight="1" thickBot="1">
      <c r="A12" s="35" t="s">
        <v>89</v>
      </c>
      <c r="B12" s="13" t="s">
        <v>137</v>
      </c>
      <c r="C12" s="13" t="s">
        <v>203</v>
      </c>
      <c r="D12" s="22">
        <v>300000000</v>
      </c>
      <c r="E12" s="13" t="s">
        <v>113</v>
      </c>
      <c r="F12" s="13" t="s">
        <v>138</v>
      </c>
      <c r="G12" s="42">
        <v>0</v>
      </c>
      <c r="H12" s="42">
        <v>0</v>
      </c>
      <c r="I12" s="42">
        <f>G12-H12</f>
        <v>0</v>
      </c>
      <c r="J12" s="42">
        <f>D12-H12</f>
        <v>300000000</v>
      </c>
      <c r="K12" s="43">
        <f>H12/D12</f>
        <v>0</v>
      </c>
      <c r="M12" s="44">
        <f>D12-G12</f>
        <v>300000000</v>
      </c>
    </row>
    <row r="13" spans="1:13" s="2" customFormat="1" ht="44.25" customHeight="1" thickBot="1">
      <c r="A13" s="35" t="s">
        <v>206</v>
      </c>
      <c r="B13" s="13" t="s">
        <v>8</v>
      </c>
      <c r="C13" s="13" t="s">
        <v>203</v>
      </c>
      <c r="D13" s="22">
        <v>320000000</v>
      </c>
      <c r="E13" s="13" t="s">
        <v>114</v>
      </c>
      <c r="F13" s="13" t="s">
        <v>139</v>
      </c>
      <c r="G13" s="48">
        <f>1664368+200000000+2100000+64000000</f>
        <v>267764368</v>
      </c>
      <c r="H13" s="48">
        <f>1664368+63666461</f>
        <v>65330829</v>
      </c>
      <c r="I13" s="48">
        <f>G13-H13</f>
        <v>202433539</v>
      </c>
      <c r="J13" s="48">
        <f>D13-H13</f>
        <v>254669171</v>
      </c>
      <c r="K13" s="49">
        <f>H13/D13</f>
        <v>0.204158840625</v>
      </c>
      <c r="M13" s="44">
        <f>D13-G13</f>
        <v>52235632</v>
      </c>
    </row>
    <row r="14" spans="1:13" ht="16.5" customHeight="1" thickBot="1">
      <c r="A14" s="106" t="s">
        <v>18</v>
      </c>
      <c r="B14" s="107"/>
      <c r="C14" s="108"/>
      <c r="D14" s="66">
        <f>SUM(D9:D13)</f>
        <v>750000000</v>
      </c>
      <c r="E14" s="135"/>
      <c r="F14" s="136"/>
      <c r="G14" s="50">
        <f>SUM(G9:G13)</f>
        <v>267764368</v>
      </c>
      <c r="H14" s="50">
        <f>SUM(H9:H13)</f>
        <v>65330829</v>
      </c>
      <c r="I14" s="50">
        <f>G14-H14</f>
        <v>202433539</v>
      </c>
      <c r="J14" s="51">
        <f>D14-H14</f>
        <v>684669171</v>
      </c>
      <c r="K14" s="52">
        <f>H14/D14</f>
        <v>0.087107772</v>
      </c>
      <c r="M14" s="53">
        <f>D14-G14</f>
        <v>482235632</v>
      </c>
    </row>
    <row r="15" spans="1:13" s="2" customFormat="1" ht="15" customHeight="1" thickBot="1">
      <c r="A15" s="147" t="s">
        <v>2</v>
      </c>
      <c r="B15" s="148"/>
      <c r="C15" s="148"/>
      <c r="D15" s="148"/>
      <c r="E15" s="148"/>
      <c r="F15" s="165"/>
      <c r="G15" s="166" t="s">
        <v>226</v>
      </c>
      <c r="H15" s="167"/>
      <c r="I15" s="167"/>
      <c r="J15" s="167"/>
      <c r="K15" s="168"/>
      <c r="L15" s="47"/>
      <c r="M15" s="56"/>
    </row>
    <row r="16" spans="1:13" s="2" customFormat="1" ht="53.25" thickBot="1">
      <c r="A16" s="35" t="s">
        <v>44</v>
      </c>
      <c r="B16" s="13" t="s">
        <v>129</v>
      </c>
      <c r="C16" s="13" t="s">
        <v>203</v>
      </c>
      <c r="D16" s="22">
        <v>88637000</v>
      </c>
      <c r="E16" s="13" t="s">
        <v>99</v>
      </c>
      <c r="F16" s="23" t="s">
        <v>140</v>
      </c>
      <c r="G16" s="45">
        <v>64300000</v>
      </c>
      <c r="H16" s="45">
        <v>0</v>
      </c>
      <c r="I16" s="45">
        <f>G16-H16</f>
        <v>64300000</v>
      </c>
      <c r="J16" s="45">
        <f>D16-H16</f>
        <v>88637000</v>
      </c>
      <c r="K16" s="46">
        <f>H16/D16</f>
        <v>0</v>
      </c>
      <c r="M16" s="44">
        <f>D16-G16</f>
        <v>24337000</v>
      </c>
    </row>
    <row r="17" spans="1:13" s="2" customFormat="1" ht="15" customHeight="1" thickBot="1">
      <c r="A17" s="169" t="s">
        <v>18</v>
      </c>
      <c r="B17" s="170"/>
      <c r="C17" s="171"/>
      <c r="D17" s="12">
        <f>D16</f>
        <v>88637000</v>
      </c>
      <c r="E17" s="135"/>
      <c r="F17" s="137"/>
      <c r="G17" s="50">
        <f>G16</f>
        <v>64300000</v>
      </c>
      <c r="H17" s="50">
        <f>H16</f>
        <v>0</v>
      </c>
      <c r="I17" s="50">
        <f>G17-H17</f>
        <v>64300000</v>
      </c>
      <c r="J17" s="51">
        <f>D17-H17</f>
        <v>88637000</v>
      </c>
      <c r="K17" s="52">
        <f>H17/D17</f>
        <v>0</v>
      </c>
      <c r="M17" s="51">
        <f>M16</f>
        <v>24337000</v>
      </c>
    </row>
    <row r="18" spans="1:13" s="2" customFormat="1" ht="18" customHeight="1" thickBot="1">
      <c r="A18" s="147" t="s">
        <v>1</v>
      </c>
      <c r="B18" s="148"/>
      <c r="C18" s="148"/>
      <c r="D18" s="148"/>
      <c r="E18" s="148"/>
      <c r="F18" s="149"/>
      <c r="G18" s="153" t="s">
        <v>227</v>
      </c>
      <c r="H18" s="154"/>
      <c r="I18" s="154"/>
      <c r="J18" s="154"/>
      <c r="K18" s="155"/>
      <c r="M18" s="56"/>
    </row>
    <row r="19" spans="1:13" s="2" customFormat="1" ht="56.25" customHeight="1" thickBot="1">
      <c r="A19" s="35" t="s">
        <v>21</v>
      </c>
      <c r="B19" s="13" t="s">
        <v>3</v>
      </c>
      <c r="C19" s="25" t="s">
        <v>25</v>
      </c>
      <c r="D19" s="22">
        <v>30000000</v>
      </c>
      <c r="E19" s="13" t="s">
        <v>115</v>
      </c>
      <c r="F19" s="13" t="s">
        <v>121</v>
      </c>
      <c r="G19" s="42">
        <v>0</v>
      </c>
      <c r="H19" s="42">
        <v>0</v>
      </c>
      <c r="I19" s="42">
        <f aca="true" t="shared" si="0" ref="I19:I25">G19-H19</f>
        <v>0</v>
      </c>
      <c r="J19" s="42">
        <f aca="true" t="shared" si="1" ref="J19:J25">D19-H19</f>
        <v>30000000</v>
      </c>
      <c r="K19" s="43">
        <f aca="true" t="shared" si="2" ref="K19:K25">H19/D19</f>
        <v>0</v>
      </c>
      <c r="M19" s="44">
        <f aca="true" t="shared" si="3" ref="M19:M25">D19-G19</f>
        <v>30000000</v>
      </c>
    </row>
    <row r="20" spans="1:13" s="2" customFormat="1" ht="78" customHeight="1" thickBot="1">
      <c r="A20" s="35" t="s">
        <v>204</v>
      </c>
      <c r="B20" s="13" t="s">
        <v>130</v>
      </c>
      <c r="C20" s="25" t="s">
        <v>25</v>
      </c>
      <c r="D20" s="22">
        <v>60000000</v>
      </c>
      <c r="E20" s="28" t="s">
        <v>208</v>
      </c>
      <c r="F20" s="13" t="s">
        <v>43</v>
      </c>
      <c r="G20" s="42">
        <v>0</v>
      </c>
      <c r="H20" s="42">
        <v>0</v>
      </c>
      <c r="I20" s="42">
        <f t="shared" si="0"/>
        <v>0</v>
      </c>
      <c r="J20" s="42">
        <f t="shared" si="1"/>
        <v>60000000</v>
      </c>
      <c r="K20" s="43">
        <f t="shared" si="2"/>
        <v>0</v>
      </c>
      <c r="M20" s="44">
        <f t="shared" si="3"/>
        <v>60000000</v>
      </c>
    </row>
    <row r="21" spans="1:13" s="2" customFormat="1" ht="39.75" customHeight="1" thickBot="1">
      <c r="A21" s="35" t="s">
        <v>14</v>
      </c>
      <c r="B21" s="13" t="s">
        <v>133</v>
      </c>
      <c r="C21" s="25" t="s">
        <v>25</v>
      </c>
      <c r="D21" s="22">
        <v>60000000</v>
      </c>
      <c r="E21" s="28" t="s">
        <v>113</v>
      </c>
      <c r="F21" s="13" t="s">
        <v>134</v>
      </c>
      <c r="G21" s="42">
        <v>0</v>
      </c>
      <c r="H21" s="42">
        <v>0</v>
      </c>
      <c r="I21" s="42">
        <f t="shared" si="0"/>
        <v>0</v>
      </c>
      <c r="J21" s="42">
        <f t="shared" si="1"/>
        <v>60000000</v>
      </c>
      <c r="K21" s="43">
        <f t="shared" si="2"/>
        <v>0</v>
      </c>
      <c r="M21" s="44">
        <f t="shared" si="3"/>
        <v>60000000</v>
      </c>
    </row>
    <row r="22" spans="1:13" s="2" customFormat="1" ht="33.75" customHeight="1" thickBot="1">
      <c r="A22" s="35" t="s">
        <v>15</v>
      </c>
      <c r="B22" s="13" t="s">
        <v>133</v>
      </c>
      <c r="C22" s="39" t="s">
        <v>25</v>
      </c>
      <c r="D22" s="22">
        <v>40000000</v>
      </c>
      <c r="E22" s="28" t="s">
        <v>113</v>
      </c>
      <c r="F22" s="13" t="s">
        <v>134</v>
      </c>
      <c r="G22" s="42">
        <v>40000000</v>
      </c>
      <c r="H22" s="42">
        <v>34915508</v>
      </c>
      <c r="I22" s="42">
        <f t="shared" si="0"/>
        <v>5084492</v>
      </c>
      <c r="J22" s="42">
        <f t="shared" si="1"/>
        <v>5084492</v>
      </c>
      <c r="K22" s="43">
        <f t="shared" si="2"/>
        <v>0.8728877</v>
      </c>
      <c r="M22" s="44">
        <f t="shared" si="3"/>
        <v>0</v>
      </c>
    </row>
    <row r="23" spans="1:13" s="2" customFormat="1" ht="36" customHeight="1" thickBot="1">
      <c r="A23" s="35" t="s">
        <v>16</v>
      </c>
      <c r="B23" s="13" t="s">
        <v>3</v>
      </c>
      <c r="C23" s="13" t="s">
        <v>203</v>
      </c>
      <c r="D23" s="22">
        <f>50000000+95000000+20000000+10000000+10000000</f>
        <v>185000000</v>
      </c>
      <c r="E23" s="13" t="s">
        <v>113</v>
      </c>
      <c r="F23" s="13" t="s">
        <v>132</v>
      </c>
      <c r="G23" s="42">
        <f>2122800+9987600+1751600+1477736+512720+2147443</f>
        <v>17999899</v>
      </c>
      <c r="H23" s="42">
        <f>512720+2122800+1439560</f>
        <v>4075080</v>
      </c>
      <c r="I23" s="42">
        <f t="shared" si="0"/>
        <v>13924819</v>
      </c>
      <c r="J23" s="42">
        <f t="shared" si="1"/>
        <v>180924920</v>
      </c>
      <c r="K23" s="43">
        <f t="shared" si="2"/>
        <v>0.02202745945945946</v>
      </c>
      <c r="M23" s="44">
        <f t="shared" si="3"/>
        <v>167000101</v>
      </c>
    </row>
    <row r="24" spans="1:13" s="2" customFormat="1" ht="42.75" customHeight="1" thickBot="1">
      <c r="A24" s="35" t="s">
        <v>209</v>
      </c>
      <c r="B24" s="13" t="s">
        <v>8</v>
      </c>
      <c r="C24" s="39" t="s">
        <v>25</v>
      </c>
      <c r="D24" s="22">
        <v>18139000</v>
      </c>
      <c r="E24" s="13" t="s">
        <v>207</v>
      </c>
      <c r="F24" s="13" t="s">
        <v>122</v>
      </c>
      <c r="G24" s="42">
        <v>0</v>
      </c>
      <c r="H24" s="42">
        <v>0</v>
      </c>
      <c r="I24" s="42">
        <f t="shared" si="0"/>
        <v>0</v>
      </c>
      <c r="J24" s="42">
        <f t="shared" si="1"/>
        <v>18139000</v>
      </c>
      <c r="K24" s="43">
        <f t="shared" si="2"/>
        <v>0</v>
      </c>
      <c r="M24" s="44">
        <f t="shared" si="3"/>
        <v>18139000</v>
      </c>
    </row>
    <row r="25" spans="1:13" s="2" customFormat="1" ht="30.75" customHeight="1" thickBot="1">
      <c r="A25" s="35" t="s">
        <v>191</v>
      </c>
      <c r="B25" s="13" t="s">
        <v>40</v>
      </c>
      <c r="C25" s="39" t="s">
        <v>25</v>
      </c>
      <c r="D25" s="22">
        <v>10000000</v>
      </c>
      <c r="E25" s="13" t="s">
        <v>97</v>
      </c>
      <c r="F25" s="13" t="s">
        <v>43</v>
      </c>
      <c r="G25" s="42">
        <f>2552000+3000000</f>
        <v>5552000</v>
      </c>
      <c r="H25" s="42">
        <f>2552000+2000000</f>
        <v>4552000</v>
      </c>
      <c r="I25" s="42">
        <f t="shared" si="0"/>
        <v>1000000</v>
      </c>
      <c r="J25" s="42">
        <f t="shared" si="1"/>
        <v>5448000</v>
      </c>
      <c r="K25" s="43">
        <f t="shared" si="2"/>
        <v>0.4552</v>
      </c>
      <c r="M25" s="44">
        <f t="shared" si="3"/>
        <v>4448000</v>
      </c>
    </row>
    <row r="26" spans="1:13" s="2" customFormat="1" ht="20.25" customHeight="1" thickBot="1">
      <c r="A26" s="106" t="s">
        <v>18</v>
      </c>
      <c r="B26" s="107"/>
      <c r="C26" s="108"/>
      <c r="D26" s="66">
        <f>SUM(D19:D25)</f>
        <v>403139000</v>
      </c>
      <c r="E26" s="135"/>
      <c r="F26" s="137"/>
      <c r="G26" s="50">
        <f>SUM(G19:G25)</f>
        <v>63551899</v>
      </c>
      <c r="H26" s="50">
        <f>SUM(H19:H25)</f>
        <v>43542588</v>
      </c>
      <c r="I26" s="50">
        <f>G26-H26</f>
        <v>20009311</v>
      </c>
      <c r="J26" s="51">
        <f>D26-H26</f>
        <v>359596412</v>
      </c>
      <c r="K26" s="52">
        <f>H26/D26</f>
        <v>0.10800887038961747</v>
      </c>
      <c r="M26" s="51">
        <f>SUM(M19:M25)</f>
        <v>339587101</v>
      </c>
    </row>
    <row r="27" spans="1:13" s="2" customFormat="1" ht="15" customHeight="1" thickBot="1">
      <c r="A27" s="162" t="s">
        <v>6</v>
      </c>
      <c r="B27" s="163"/>
      <c r="C27" s="163"/>
      <c r="D27" s="163"/>
      <c r="E27" s="163"/>
      <c r="F27" s="164"/>
      <c r="G27" s="153" t="s">
        <v>228</v>
      </c>
      <c r="H27" s="154"/>
      <c r="I27" s="154"/>
      <c r="J27" s="154"/>
      <c r="K27" s="155"/>
      <c r="M27" s="56"/>
    </row>
    <row r="28" spans="1:13" s="2" customFormat="1" ht="48.75" customHeight="1" thickBot="1">
      <c r="A28" s="35" t="s">
        <v>210</v>
      </c>
      <c r="B28" s="13" t="s">
        <v>131</v>
      </c>
      <c r="C28" s="13" t="s">
        <v>211</v>
      </c>
      <c r="D28" s="22">
        <v>337708000</v>
      </c>
      <c r="E28" s="28" t="s">
        <v>98</v>
      </c>
      <c r="F28" s="13" t="s">
        <v>135</v>
      </c>
      <c r="G28" s="42">
        <v>332204000</v>
      </c>
      <c r="H28" s="42">
        <v>0</v>
      </c>
      <c r="I28" s="42">
        <f>G28-H28</f>
        <v>332204000</v>
      </c>
      <c r="J28" s="42">
        <f>D28-H28</f>
        <v>337708000</v>
      </c>
      <c r="K28" s="43">
        <f>H28/D28</f>
        <v>0</v>
      </c>
      <c r="M28" s="44">
        <f>D28-G28</f>
        <v>5504000</v>
      </c>
    </row>
    <row r="29" spans="1:13" s="2" customFormat="1" ht="17.25" customHeight="1" thickBot="1">
      <c r="A29" s="106" t="s">
        <v>18</v>
      </c>
      <c r="B29" s="107"/>
      <c r="C29" s="108"/>
      <c r="D29" s="66">
        <f>SUM(D28:D28)</f>
        <v>337708000</v>
      </c>
      <c r="E29" s="135"/>
      <c r="F29" s="137"/>
      <c r="G29" s="50">
        <f>G28</f>
        <v>332204000</v>
      </c>
      <c r="H29" s="50">
        <f>H28</f>
        <v>0</v>
      </c>
      <c r="I29" s="50">
        <f>I28</f>
        <v>332204000</v>
      </c>
      <c r="J29" s="51">
        <f>D29-H29</f>
        <v>337708000</v>
      </c>
      <c r="K29" s="52">
        <f>H29/D29</f>
        <v>0</v>
      </c>
      <c r="L29" s="54"/>
      <c r="M29" s="51">
        <f>D29-G29</f>
        <v>5504000</v>
      </c>
    </row>
    <row r="30" spans="1:13" s="2" customFormat="1" ht="20.25" customHeight="1" thickBot="1">
      <c r="A30" s="147" t="s">
        <v>7</v>
      </c>
      <c r="B30" s="148"/>
      <c r="C30" s="148"/>
      <c r="D30" s="148"/>
      <c r="E30" s="148"/>
      <c r="F30" s="149"/>
      <c r="G30" s="153" t="s">
        <v>229</v>
      </c>
      <c r="H30" s="154"/>
      <c r="I30" s="154"/>
      <c r="J30" s="154"/>
      <c r="K30" s="155"/>
      <c r="M30" s="56"/>
    </row>
    <row r="31" spans="1:13" s="2" customFormat="1" ht="48" customHeight="1" thickBot="1">
      <c r="A31" s="35" t="s">
        <v>81</v>
      </c>
      <c r="B31" s="13" t="s">
        <v>133</v>
      </c>
      <c r="C31" s="13" t="s">
        <v>25</v>
      </c>
      <c r="D31" s="27">
        <v>136620000</v>
      </c>
      <c r="E31" s="13" t="s">
        <v>103</v>
      </c>
      <c r="F31" s="13" t="s">
        <v>123</v>
      </c>
      <c r="G31" s="42">
        <v>0</v>
      </c>
      <c r="H31" s="42">
        <v>0</v>
      </c>
      <c r="I31" s="42">
        <f aca="true" t="shared" si="4" ref="I31:I37">G31-H31</f>
        <v>0</v>
      </c>
      <c r="J31" s="42">
        <f aca="true" t="shared" si="5" ref="J31:J37">D31-H31</f>
        <v>136620000</v>
      </c>
      <c r="K31" s="43">
        <f aca="true" t="shared" si="6" ref="K31:K37">H31/D31</f>
        <v>0</v>
      </c>
      <c r="M31" s="44">
        <f aca="true" t="shared" si="7" ref="M31:M36">D31-G31</f>
        <v>136620000</v>
      </c>
    </row>
    <row r="32" spans="1:13" s="2" customFormat="1" ht="47.25" customHeight="1" thickBot="1">
      <c r="A32" s="35" t="s">
        <v>192</v>
      </c>
      <c r="B32" s="13" t="s">
        <v>133</v>
      </c>
      <c r="C32" s="13" t="s">
        <v>25</v>
      </c>
      <c r="D32" s="22">
        <v>761487422</v>
      </c>
      <c r="E32" s="13" t="s">
        <v>104</v>
      </c>
      <c r="F32" s="13" t="s">
        <v>123</v>
      </c>
      <c r="G32" s="42">
        <v>0</v>
      </c>
      <c r="H32" s="42">
        <v>0</v>
      </c>
      <c r="I32" s="42">
        <f t="shared" si="4"/>
        <v>0</v>
      </c>
      <c r="J32" s="42">
        <f t="shared" si="5"/>
        <v>761487422</v>
      </c>
      <c r="K32" s="43">
        <f t="shared" si="6"/>
        <v>0</v>
      </c>
      <c r="M32" s="44">
        <f t="shared" si="7"/>
        <v>761487422</v>
      </c>
    </row>
    <row r="33" spans="1:13" s="2" customFormat="1" ht="48" customHeight="1" thickBot="1">
      <c r="A33" s="35" t="s">
        <v>34</v>
      </c>
      <c r="B33" s="13" t="s">
        <v>133</v>
      </c>
      <c r="C33" s="13" t="s">
        <v>25</v>
      </c>
      <c r="D33" s="22">
        <v>6430455</v>
      </c>
      <c r="E33" s="24" t="s">
        <v>106</v>
      </c>
      <c r="F33" s="13" t="s">
        <v>123</v>
      </c>
      <c r="G33" s="42">
        <v>0</v>
      </c>
      <c r="H33" s="42">
        <v>0</v>
      </c>
      <c r="I33" s="42">
        <f t="shared" si="4"/>
        <v>0</v>
      </c>
      <c r="J33" s="42">
        <f t="shared" si="5"/>
        <v>6430455</v>
      </c>
      <c r="K33" s="43">
        <f t="shared" si="6"/>
        <v>0</v>
      </c>
      <c r="M33" s="44">
        <f t="shared" si="7"/>
        <v>6430455</v>
      </c>
    </row>
    <row r="34" spans="1:13" s="2" customFormat="1" ht="48" customHeight="1" thickBot="1">
      <c r="A34" s="35" t="s">
        <v>35</v>
      </c>
      <c r="B34" s="13" t="s">
        <v>133</v>
      </c>
      <c r="C34" s="13" t="s">
        <v>25</v>
      </c>
      <c r="D34" s="22">
        <v>23018930</v>
      </c>
      <c r="E34" s="13" t="s">
        <v>105</v>
      </c>
      <c r="F34" s="13" t="s">
        <v>123</v>
      </c>
      <c r="G34" s="42">
        <v>0</v>
      </c>
      <c r="H34" s="42">
        <v>0</v>
      </c>
      <c r="I34" s="42">
        <f t="shared" si="4"/>
        <v>0</v>
      </c>
      <c r="J34" s="42">
        <f t="shared" si="5"/>
        <v>23018930</v>
      </c>
      <c r="K34" s="43">
        <f t="shared" si="6"/>
        <v>0</v>
      </c>
      <c r="M34" s="44">
        <f t="shared" si="7"/>
        <v>23018930</v>
      </c>
    </row>
    <row r="35" spans="1:13" s="2" customFormat="1" ht="48.75" customHeight="1" thickBot="1">
      <c r="A35" s="35" t="s">
        <v>193</v>
      </c>
      <c r="B35" s="13" t="s">
        <v>133</v>
      </c>
      <c r="C35" s="13" t="s">
        <v>25</v>
      </c>
      <c r="D35" s="22">
        <v>27869905</v>
      </c>
      <c r="E35" s="24" t="s">
        <v>155</v>
      </c>
      <c r="F35" s="13" t="s">
        <v>123</v>
      </c>
      <c r="G35" s="42">
        <v>0</v>
      </c>
      <c r="H35" s="42">
        <v>0</v>
      </c>
      <c r="I35" s="42">
        <f t="shared" si="4"/>
        <v>0</v>
      </c>
      <c r="J35" s="42">
        <f t="shared" si="5"/>
        <v>27869905</v>
      </c>
      <c r="K35" s="43">
        <f t="shared" si="6"/>
        <v>0</v>
      </c>
      <c r="M35" s="44">
        <f t="shared" si="7"/>
        <v>27869905</v>
      </c>
    </row>
    <row r="36" spans="1:13" s="2" customFormat="1" ht="48" customHeight="1" thickBot="1">
      <c r="A36" s="35" t="s">
        <v>80</v>
      </c>
      <c r="B36" s="13" t="s">
        <v>133</v>
      </c>
      <c r="C36" s="13" t="s">
        <v>25</v>
      </c>
      <c r="D36" s="22">
        <v>313259997</v>
      </c>
      <c r="E36" s="13" t="s">
        <v>107</v>
      </c>
      <c r="F36" s="13" t="s">
        <v>123</v>
      </c>
      <c r="G36" s="42">
        <v>232200000</v>
      </c>
      <c r="H36" s="42">
        <v>0</v>
      </c>
      <c r="I36" s="42">
        <f t="shared" si="4"/>
        <v>232200000</v>
      </c>
      <c r="J36" s="42">
        <f t="shared" si="5"/>
        <v>313259997</v>
      </c>
      <c r="K36" s="43">
        <f t="shared" si="6"/>
        <v>0</v>
      </c>
      <c r="M36" s="44">
        <f t="shared" si="7"/>
        <v>81059997</v>
      </c>
    </row>
    <row r="37" spans="1:13" s="2" customFormat="1" ht="45.75" customHeight="1" thickBot="1">
      <c r="A37" s="35" t="s">
        <v>79</v>
      </c>
      <c r="B37" s="13" t="s">
        <v>133</v>
      </c>
      <c r="C37" s="13" t="s">
        <v>25</v>
      </c>
      <c r="D37" s="22">
        <v>365313291</v>
      </c>
      <c r="E37" s="13" t="s">
        <v>107</v>
      </c>
      <c r="F37" s="13" t="s">
        <v>123</v>
      </c>
      <c r="G37" s="42">
        <f>22000000+20400000+30720000+41150000+43000000+81500000</f>
        <v>238770000</v>
      </c>
      <c r="H37" s="42">
        <f>20729200+30720000+41150000+43000000+20400000</f>
        <v>155999200</v>
      </c>
      <c r="I37" s="42">
        <f t="shared" si="4"/>
        <v>82770800</v>
      </c>
      <c r="J37" s="42">
        <f t="shared" si="5"/>
        <v>209314091</v>
      </c>
      <c r="K37" s="43">
        <f t="shared" si="6"/>
        <v>0.4270285364459953</v>
      </c>
      <c r="M37" s="44">
        <f>D37-G37-22000000</f>
        <v>104543291</v>
      </c>
    </row>
    <row r="38" spans="1:13" s="2" customFormat="1" ht="21" customHeight="1" thickBot="1">
      <c r="A38" s="106" t="s">
        <v>18</v>
      </c>
      <c r="B38" s="107"/>
      <c r="C38" s="108"/>
      <c r="D38" s="66">
        <f>SUM(D31:D37)</f>
        <v>1634000000</v>
      </c>
      <c r="E38" s="135"/>
      <c r="F38" s="137"/>
      <c r="G38" s="50">
        <f>SUM(G31:G37)</f>
        <v>470970000</v>
      </c>
      <c r="H38" s="50">
        <f>SUM(H31:H37)</f>
        <v>155999200</v>
      </c>
      <c r="I38" s="50">
        <f>G38-H38</f>
        <v>314970800</v>
      </c>
      <c r="J38" s="51">
        <f>D38-H38</f>
        <v>1478000800</v>
      </c>
      <c r="K38" s="52">
        <f>H38/D38</f>
        <v>0.09547074663402692</v>
      </c>
      <c r="L38" s="54"/>
      <c r="M38" s="51">
        <f>D38-G38</f>
        <v>1163030000</v>
      </c>
    </row>
    <row r="39" spans="1:13" s="2" customFormat="1" ht="16.5" customHeight="1" thickBot="1">
      <c r="A39" s="147" t="s">
        <v>4</v>
      </c>
      <c r="B39" s="148"/>
      <c r="C39" s="148"/>
      <c r="D39" s="148"/>
      <c r="E39" s="148"/>
      <c r="F39" s="149"/>
      <c r="G39" s="159" t="s">
        <v>230</v>
      </c>
      <c r="H39" s="160"/>
      <c r="I39" s="160"/>
      <c r="J39" s="160"/>
      <c r="K39" s="161"/>
      <c r="M39" s="56"/>
    </row>
    <row r="40" spans="1:13" s="2" customFormat="1" ht="36.75" customHeight="1" thickBot="1">
      <c r="A40" s="35" t="s">
        <v>23</v>
      </c>
      <c r="B40" s="13" t="s">
        <v>129</v>
      </c>
      <c r="C40" s="21" t="s">
        <v>25</v>
      </c>
      <c r="D40" s="22">
        <v>57287000</v>
      </c>
      <c r="E40" s="13" t="s">
        <v>102</v>
      </c>
      <c r="F40" s="13" t="s">
        <v>134</v>
      </c>
      <c r="G40" s="42">
        <f>1324663+1316871+935056+16717560+12193085+896094</f>
        <v>33383329</v>
      </c>
      <c r="H40" s="42">
        <f>1324663+1316871+935056+896094+687700+646200+765700</f>
        <v>6572284</v>
      </c>
      <c r="I40" s="42">
        <f>G40-H40</f>
        <v>26811045</v>
      </c>
      <c r="J40" s="42">
        <f>D40-H40</f>
        <v>50714716</v>
      </c>
      <c r="K40" s="43">
        <f>H40/D40</f>
        <v>0.11472557473772409</v>
      </c>
      <c r="M40" s="44">
        <f>D40-G40</f>
        <v>23903671</v>
      </c>
    </row>
    <row r="41" spans="1:13" s="2" customFormat="1" ht="45.75" customHeight="1" thickBot="1">
      <c r="A41" s="35" t="s">
        <v>36</v>
      </c>
      <c r="B41" s="13" t="s">
        <v>11</v>
      </c>
      <c r="C41" s="21" t="s">
        <v>27</v>
      </c>
      <c r="D41" s="22">
        <v>720000000</v>
      </c>
      <c r="E41" s="13" t="s">
        <v>212</v>
      </c>
      <c r="F41" s="13" t="s">
        <v>136</v>
      </c>
      <c r="G41" s="42">
        <v>0</v>
      </c>
      <c r="H41" s="42">
        <v>0</v>
      </c>
      <c r="I41" s="42">
        <f>G41-H41</f>
        <v>0</v>
      </c>
      <c r="J41" s="42">
        <f>D41-H41</f>
        <v>720000000</v>
      </c>
      <c r="K41" s="43">
        <f>H41/D41</f>
        <v>0</v>
      </c>
      <c r="M41" s="44">
        <f>D41-G41</f>
        <v>720000000</v>
      </c>
    </row>
    <row r="42" spans="1:13" s="2" customFormat="1" ht="19.5" customHeight="1" thickBot="1">
      <c r="A42" s="106" t="s">
        <v>18</v>
      </c>
      <c r="B42" s="107"/>
      <c r="C42" s="108"/>
      <c r="D42" s="67">
        <f>SUM(D40:D41)</f>
        <v>777287000</v>
      </c>
      <c r="E42" s="135"/>
      <c r="F42" s="137"/>
      <c r="G42" s="50">
        <f>SUM(G40:G41)</f>
        <v>33383329</v>
      </c>
      <c r="H42" s="50">
        <f>SUM(H40:H41)</f>
        <v>6572284</v>
      </c>
      <c r="I42" s="50">
        <f>G42-H42</f>
        <v>26811045</v>
      </c>
      <c r="J42" s="51">
        <f>D42-H42</f>
        <v>770714716</v>
      </c>
      <c r="K42" s="52">
        <f>H42/D42</f>
        <v>0.008455414795307268</v>
      </c>
      <c r="L42" s="54"/>
      <c r="M42" s="51">
        <f>D42-G42</f>
        <v>743903671</v>
      </c>
    </row>
    <row r="43" spans="1:13" s="2" customFormat="1" ht="16.5" customHeight="1" thickBot="1">
      <c r="A43" s="147" t="s">
        <v>222</v>
      </c>
      <c r="B43" s="148"/>
      <c r="C43" s="148"/>
      <c r="D43" s="148"/>
      <c r="E43" s="148"/>
      <c r="F43" s="149"/>
      <c r="G43" s="147" t="s">
        <v>231</v>
      </c>
      <c r="H43" s="148"/>
      <c r="I43" s="148"/>
      <c r="J43" s="148"/>
      <c r="K43" s="148"/>
      <c r="M43" s="55"/>
    </row>
    <row r="44" spans="1:13" s="2" customFormat="1" ht="24.75" customHeight="1" thickBot="1">
      <c r="A44" s="35" t="s">
        <v>17</v>
      </c>
      <c r="B44" s="13" t="s">
        <v>133</v>
      </c>
      <c r="C44" s="13" t="s">
        <v>25</v>
      </c>
      <c r="D44" s="22">
        <v>40000000</v>
      </c>
      <c r="E44" s="13" t="s">
        <v>118</v>
      </c>
      <c r="F44" s="13" t="s">
        <v>48</v>
      </c>
      <c r="G44" s="42">
        <v>40000000</v>
      </c>
      <c r="H44" s="42">
        <v>0</v>
      </c>
      <c r="I44" s="42">
        <f>G44-H44</f>
        <v>40000000</v>
      </c>
      <c r="J44" s="42">
        <f>D44-H44</f>
        <v>40000000</v>
      </c>
      <c r="K44" s="43">
        <f>H44/D44</f>
        <v>0</v>
      </c>
      <c r="M44" s="44">
        <f>D44-G44</f>
        <v>0</v>
      </c>
    </row>
    <row r="45" spans="1:13" s="2" customFormat="1" ht="33" customHeight="1" thickBot="1">
      <c r="A45" s="35" t="s">
        <v>87</v>
      </c>
      <c r="B45" s="13" t="s">
        <v>146</v>
      </c>
      <c r="C45" s="13" t="s">
        <v>25</v>
      </c>
      <c r="D45" s="22">
        <f>75684000+5000000+5000000</f>
        <v>85684000</v>
      </c>
      <c r="E45" s="13" t="s">
        <v>117</v>
      </c>
      <c r="F45" s="13" t="s">
        <v>45</v>
      </c>
      <c r="G45" s="42">
        <f>25000000+2000000</f>
        <v>27000000</v>
      </c>
      <c r="H45" s="42">
        <v>0</v>
      </c>
      <c r="I45" s="42">
        <f>G45-H45</f>
        <v>27000000</v>
      </c>
      <c r="J45" s="42">
        <f>D45-H45</f>
        <v>85684000</v>
      </c>
      <c r="K45" s="43">
        <f>H45/D45</f>
        <v>0</v>
      </c>
      <c r="M45" s="44">
        <f>D45-G45</f>
        <v>58684000</v>
      </c>
    </row>
    <row r="46" spans="1:13" s="2" customFormat="1" ht="35.25" customHeight="1" thickBot="1">
      <c r="A46" s="35" t="s">
        <v>22</v>
      </c>
      <c r="B46" s="13" t="s">
        <v>146</v>
      </c>
      <c r="C46" s="13" t="s">
        <v>25</v>
      </c>
      <c r="D46" s="22">
        <v>5000000</v>
      </c>
      <c r="E46" s="13" t="s">
        <v>116</v>
      </c>
      <c r="F46" s="13" t="s">
        <v>43</v>
      </c>
      <c r="G46" s="42">
        <v>0</v>
      </c>
      <c r="H46" s="42">
        <v>0</v>
      </c>
      <c r="I46" s="42">
        <f>G46-H46</f>
        <v>0</v>
      </c>
      <c r="J46" s="42">
        <f>D46-H46</f>
        <v>5000000</v>
      </c>
      <c r="K46" s="43">
        <f>H46/D46</f>
        <v>0</v>
      </c>
      <c r="M46" s="44">
        <f>D46-G46</f>
        <v>5000000</v>
      </c>
    </row>
    <row r="47" spans="1:13" s="2" customFormat="1" ht="33" customHeight="1" thickBot="1">
      <c r="A47" s="35" t="s">
        <v>93</v>
      </c>
      <c r="B47" s="13" t="s">
        <v>147</v>
      </c>
      <c r="C47" s="13" t="s">
        <v>25</v>
      </c>
      <c r="D47" s="22">
        <v>30000000</v>
      </c>
      <c r="E47" s="13" t="s">
        <v>115</v>
      </c>
      <c r="F47" s="13" t="s">
        <v>94</v>
      </c>
      <c r="G47" s="42">
        <v>30000000</v>
      </c>
      <c r="H47" s="42">
        <v>29988000</v>
      </c>
      <c r="I47" s="42">
        <f>G47-H47</f>
        <v>12000</v>
      </c>
      <c r="J47" s="42">
        <f>D47-H47</f>
        <v>12000</v>
      </c>
      <c r="K47" s="43">
        <f>H47/D47</f>
        <v>0.9996</v>
      </c>
      <c r="M47" s="44">
        <f>D47-G47</f>
        <v>0</v>
      </c>
    </row>
    <row r="48" spans="1:16" s="2" customFormat="1" ht="19.5" customHeight="1" thickBot="1">
      <c r="A48" s="106" t="s">
        <v>18</v>
      </c>
      <c r="B48" s="107"/>
      <c r="C48" s="108"/>
      <c r="D48" s="66">
        <f>SUM(D44:D47)</f>
        <v>160684000</v>
      </c>
      <c r="E48" s="135"/>
      <c r="F48" s="137"/>
      <c r="G48" s="50">
        <f>SUM(G44:G47)</f>
        <v>97000000</v>
      </c>
      <c r="H48" s="50">
        <f>SUM(H44:H47)</f>
        <v>29988000</v>
      </c>
      <c r="I48" s="50">
        <f>G48-H48</f>
        <v>67012000</v>
      </c>
      <c r="J48" s="50">
        <f>D48-H48</f>
        <v>130696000</v>
      </c>
      <c r="K48" s="52">
        <f>H48/D48</f>
        <v>0.18662716885315278</v>
      </c>
      <c r="L48" s="54"/>
      <c r="M48" s="50">
        <f>D48-G48</f>
        <v>63684000</v>
      </c>
      <c r="P48" s="71"/>
    </row>
    <row r="49" spans="1:16" ht="18.75" customHeight="1" thickBot="1">
      <c r="A49" s="147" t="s">
        <v>37</v>
      </c>
      <c r="B49" s="148"/>
      <c r="C49" s="148"/>
      <c r="D49" s="148"/>
      <c r="E49" s="148"/>
      <c r="F49" s="149"/>
      <c r="G49" s="159" t="s">
        <v>232</v>
      </c>
      <c r="H49" s="160"/>
      <c r="I49" s="160"/>
      <c r="J49" s="160"/>
      <c r="K49" s="161"/>
      <c r="M49" s="56"/>
      <c r="O49" s="73"/>
      <c r="P49" s="72"/>
    </row>
    <row r="50" spans="1:16" ht="43.5" customHeight="1" thickBot="1">
      <c r="A50" s="35" t="s">
        <v>9</v>
      </c>
      <c r="B50" s="13" t="s">
        <v>129</v>
      </c>
      <c r="C50" s="13" t="s">
        <v>27</v>
      </c>
      <c r="D50" s="22">
        <v>3150576621</v>
      </c>
      <c r="E50" s="13" t="s">
        <v>100</v>
      </c>
      <c r="F50" s="13" t="s">
        <v>132</v>
      </c>
      <c r="G50" s="42">
        <f>228427067+380711779+2450672195</f>
        <v>3059811041</v>
      </c>
      <c r="H50" s="42">
        <f>228427067+380711779+2057314589</f>
        <v>2666453435</v>
      </c>
      <c r="I50" s="42">
        <f aca="true" t="shared" si="8" ref="I50:I60">G50-H50</f>
        <v>393357606</v>
      </c>
      <c r="J50" s="42">
        <f aca="true" t="shared" si="9" ref="J50:J60">D50-H50</f>
        <v>484123186</v>
      </c>
      <c r="K50" s="43">
        <f aca="true" t="shared" si="10" ref="K50:K60">H50/D50</f>
        <v>0.8463382281284312</v>
      </c>
      <c r="L50" s="2"/>
      <c r="M50" s="44">
        <f aca="true" t="shared" si="11" ref="M50:M59">D50-G50</f>
        <v>90765580</v>
      </c>
      <c r="O50" s="73"/>
      <c r="P50" s="72"/>
    </row>
    <row r="51" spans="1:16" ht="49.5" customHeight="1" thickBot="1">
      <c r="A51" s="35" t="s">
        <v>194</v>
      </c>
      <c r="B51" s="13" t="s">
        <v>129</v>
      </c>
      <c r="C51" s="13" t="s">
        <v>47</v>
      </c>
      <c r="D51" s="22">
        <f>1318189261+50000000+15000000-18189261</f>
        <v>1365000000</v>
      </c>
      <c r="E51" s="13" t="s">
        <v>214</v>
      </c>
      <c r="F51" s="13" t="s">
        <v>141</v>
      </c>
      <c r="G51" s="42">
        <f>40000000+5000000+20800000+10000000+90000000+19793997+20800000+4500000+20800000-90000000+20000000+15000000+40000000+64400000+82000000</f>
        <v>363093997</v>
      </c>
      <c r="H51" s="42">
        <f>20800000+10000000+4500000+40000000+5000000+20068000+20000000+40000000</f>
        <v>160368000</v>
      </c>
      <c r="I51" s="42">
        <f t="shared" si="8"/>
        <v>202725997</v>
      </c>
      <c r="J51" s="42">
        <f t="shared" si="9"/>
        <v>1204632000</v>
      </c>
      <c r="K51" s="43">
        <f t="shared" si="10"/>
        <v>0.11748571428571429</v>
      </c>
      <c r="L51" s="2"/>
      <c r="M51" s="44">
        <f t="shared" si="11"/>
        <v>1001906003</v>
      </c>
      <c r="P51" s="72"/>
    </row>
    <row r="52" spans="1:13" ht="36.75" customHeight="1" thickBot="1">
      <c r="A52" s="35" t="s">
        <v>13</v>
      </c>
      <c r="B52" s="13" t="s">
        <v>129</v>
      </c>
      <c r="C52" s="13" t="s">
        <v>27</v>
      </c>
      <c r="D52" s="22">
        <v>5262234118</v>
      </c>
      <c r="E52" s="13" t="s">
        <v>101</v>
      </c>
      <c r="F52" s="13" t="s">
        <v>134</v>
      </c>
      <c r="G52" s="42">
        <f>728595138+4528580472</f>
        <v>5257175610</v>
      </c>
      <c r="H52" s="42">
        <f>728595138+49906887+4432863177</f>
        <v>5211365202</v>
      </c>
      <c r="I52" s="42">
        <f t="shared" si="8"/>
        <v>45810408</v>
      </c>
      <c r="J52" s="42">
        <f t="shared" si="9"/>
        <v>50868916</v>
      </c>
      <c r="K52" s="43">
        <f t="shared" si="10"/>
        <v>0.9903332092682844</v>
      </c>
      <c r="L52" s="2"/>
      <c r="M52" s="44">
        <f t="shared" si="11"/>
        <v>5058508</v>
      </c>
    </row>
    <row r="53" spans="1:13" ht="54.75" customHeight="1" thickBot="1">
      <c r="A53" s="35" t="s">
        <v>10</v>
      </c>
      <c r="B53" s="13" t="s">
        <v>3</v>
      </c>
      <c r="C53" s="13" t="s">
        <v>213</v>
      </c>
      <c r="D53" s="22">
        <f>300000000+18189261</f>
        <v>318189261</v>
      </c>
      <c r="E53" s="13" t="s">
        <v>214</v>
      </c>
      <c r="F53" s="23" t="s">
        <v>124</v>
      </c>
      <c r="G53" s="42">
        <f>4582000+8038800+10917860+7899600+14958200+31204000+23712000+6004718+23200000+9002072+1392000+3480000+3712000+5220000+7951313+14070526+6516794+15445400+406000+17400000+7000000+9983500+22850482+8973870+1527720+2517200+864200+5131376+1925600+7099200+5000006+4002000</f>
        <v>291988437</v>
      </c>
      <c r="H53" s="42">
        <f>10917860+23200000+406000+6979720+9983500+2866766+8038800+7899600+14958200+31204000+9002072+3712000+6362600+1392000+1392000+2320000+7098643</f>
        <v>147733761</v>
      </c>
      <c r="I53" s="42">
        <f t="shared" si="8"/>
        <v>144254676</v>
      </c>
      <c r="J53" s="42">
        <f t="shared" si="9"/>
        <v>170455500</v>
      </c>
      <c r="K53" s="43">
        <f t="shared" si="10"/>
        <v>0.4642952453382768</v>
      </c>
      <c r="L53" s="2"/>
      <c r="M53" s="44">
        <f>D53-G53</f>
        <v>26200824</v>
      </c>
    </row>
    <row r="54" spans="1:13" ht="36" customHeight="1" thickBot="1">
      <c r="A54" s="35" t="s">
        <v>33</v>
      </c>
      <c r="B54" s="13" t="s">
        <v>8</v>
      </c>
      <c r="C54" s="13" t="s">
        <v>47</v>
      </c>
      <c r="D54" s="22">
        <f>45000000-15000000</f>
        <v>30000000</v>
      </c>
      <c r="E54" s="13" t="s">
        <v>112</v>
      </c>
      <c r="F54" s="13" t="s">
        <v>125</v>
      </c>
      <c r="G54" s="42">
        <v>0</v>
      </c>
      <c r="H54" s="42">
        <v>0</v>
      </c>
      <c r="I54" s="42">
        <f t="shared" si="8"/>
        <v>0</v>
      </c>
      <c r="J54" s="42">
        <f t="shared" si="9"/>
        <v>30000000</v>
      </c>
      <c r="K54" s="43">
        <f t="shared" si="10"/>
        <v>0</v>
      </c>
      <c r="L54" s="2"/>
      <c r="M54" s="44">
        <f t="shared" si="11"/>
        <v>30000000</v>
      </c>
    </row>
    <row r="55" spans="1:13" ht="44.25" customHeight="1" thickBot="1">
      <c r="A55" s="35" t="s">
        <v>82</v>
      </c>
      <c r="B55" s="13" t="s">
        <v>8</v>
      </c>
      <c r="C55" s="13" t="s">
        <v>47</v>
      </c>
      <c r="D55" s="22">
        <v>35000000</v>
      </c>
      <c r="E55" s="13" t="s">
        <v>110</v>
      </c>
      <c r="F55" s="13" t="s">
        <v>125</v>
      </c>
      <c r="G55" s="42">
        <v>0</v>
      </c>
      <c r="H55" s="42">
        <v>0</v>
      </c>
      <c r="I55" s="42">
        <f t="shared" si="8"/>
        <v>0</v>
      </c>
      <c r="J55" s="42">
        <f t="shared" si="9"/>
        <v>35000000</v>
      </c>
      <c r="K55" s="43">
        <f t="shared" si="10"/>
        <v>0</v>
      </c>
      <c r="L55" s="2"/>
      <c r="M55" s="44">
        <f t="shared" si="11"/>
        <v>35000000</v>
      </c>
    </row>
    <row r="56" spans="1:13" ht="29.25" customHeight="1" thickBot="1">
      <c r="A56" s="35" t="s">
        <v>195</v>
      </c>
      <c r="B56" s="13" t="s">
        <v>8</v>
      </c>
      <c r="C56" s="13" t="s">
        <v>27</v>
      </c>
      <c r="D56" s="22">
        <v>90000000</v>
      </c>
      <c r="E56" s="13" t="s">
        <v>110</v>
      </c>
      <c r="F56" s="13" t="s">
        <v>143</v>
      </c>
      <c r="G56" s="42">
        <v>0</v>
      </c>
      <c r="H56" s="42">
        <v>0</v>
      </c>
      <c r="I56" s="42">
        <f t="shared" si="8"/>
        <v>0</v>
      </c>
      <c r="J56" s="42">
        <f t="shared" si="9"/>
        <v>90000000</v>
      </c>
      <c r="K56" s="43">
        <f t="shared" si="10"/>
        <v>0</v>
      </c>
      <c r="L56" s="2"/>
      <c r="M56" s="44">
        <f t="shared" si="11"/>
        <v>90000000</v>
      </c>
    </row>
    <row r="57" spans="1:13" ht="29.25" customHeight="1" thickBot="1">
      <c r="A57" s="35" t="s">
        <v>83</v>
      </c>
      <c r="B57" s="13" t="s">
        <v>8</v>
      </c>
      <c r="C57" s="13" t="s">
        <v>119</v>
      </c>
      <c r="D57" s="22">
        <v>30000000</v>
      </c>
      <c r="E57" s="13" t="s">
        <v>108</v>
      </c>
      <c r="F57" s="13" t="s">
        <v>120</v>
      </c>
      <c r="G57" s="42">
        <v>0</v>
      </c>
      <c r="H57" s="42">
        <v>0</v>
      </c>
      <c r="I57" s="42">
        <f t="shared" si="8"/>
        <v>0</v>
      </c>
      <c r="J57" s="42">
        <f t="shared" si="9"/>
        <v>30000000</v>
      </c>
      <c r="K57" s="43">
        <f t="shared" si="10"/>
        <v>0</v>
      </c>
      <c r="L57" s="2"/>
      <c r="M57" s="44">
        <f t="shared" si="11"/>
        <v>30000000</v>
      </c>
    </row>
    <row r="58" spans="1:13" ht="33.75" customHeight="1" thickBot="1">
      <c r="A58" s="35" t="s">
        <v>109</v>
      </c>
      <c r="B58" s="13" t="s">
        <v>8</v>
      </c>
      <c r="C58" s="13" t="s">
        <v>27</v>
      </c>
      <c r="D58" s="22">
        <v>150000000</v>
      </c>
      <c r="E58" s="13" t="s">
        <v>154</v>
      </c>
      <c r="F58" s="13" t="s">
        <v>144</v>
      </c>
      <c r="G58" s="42">
        <v>0</v>
      </c>
      <c r="H58" s="42">
        <v>0</v>
      </c>
      <c r="I58" s="42">
        <f t="shared" si="8"/>
        <v>0</v>
      </c>
      <c r="J58" s="42">
        <f t="shared" si="9"/>
        <v>150000000</v>
      </c>
      <c r="K58" s="43">
        <f t="shared" si="10"/>
        <v>0</v>
      </c>
      <c r="L58" s="2"/>
      <c r="M58" s="44">
        <f t="shared" si="11"/>
        <v>150000000</v>
      </c>
    </row>
    <row r="59" spans="1:13" ht="34.5" customHeight="1" thickBot="1">
      <c r="A59" s="35" t="s">
        <v>96</v>
      </c>
      <c r="B59" s="13" t="s">
        <v>126</v>
      </c>
      <c r="C59" s="13" t="s">
        <v>26</v>
      </c>
      <c r="D59" s="22">
        <v>100000000</v>
      </c>
      <c r="E59" s="13" t="s">
        <v>113</v>
      </c>
      <c r="F59" s="13" t="s">
        <v>142</v>
      </c>
      <c r="G59" s="42">
        <v>0</v>
      </c>
      <c r="H59" s="42">
        <v>0</v>
      </c>
      <c r="I59" s="42">
        <f t="shared" si="8"/>
        <v>0</v>
      </c>
      <c r="J59" s="42">
        <f t="shared" si="9"/>
        <v>100000000</v>
      </c>
      <c r="K59" s="43">
        <f t="shared" si="10"/>
        <v>0</v>
      </c>
      <c r="L59" s="2"/>
      <c r="M59" s="44">
        <f t="shared" si="11"/>
        <v>100000000</v>
      </c>
    </row>
    <row r="60" spans="1:13" ht="43.5" customHeight="1" thickBot="1">
      <c r="A60" s="35" t="s">
        <v>95</v>
      </c>
      <c r="B60" s="13" t="s">
        <v>8</v>
      </c>
      <c r="C60" s="13" t="s">
        <v>26</v>
      </c>
      <c r="D60" s="22">
        <v>200000000</v>
      </c>
      <c r="E60" s="13" t="s">
        <v>111</v>
      </c>
      <c r="F60" s="13" t="s">
        <v>145</v>
      </c>
      <c r="G60" s="42">
        <v>200000000</v>
      </c>
      <c r="H60" s="42">
        <v>0</v>
      </c>
      <c r="I60" s="42">
        <f t="shared" si="8"/>
        <v>200000000</v>
      </c>
      <c r="J60" s="42">
        <f t="shared" si="9"/>
        <v>200000000</v>
      </c>
      <c r="K60" s="43">
        <f t="shared" si="10"/>
        <v>0</v>
      </c>
      <c r="L60" s="2"/>
      <c r="M60" s="44">
        <f>D60-G60</f>
        <v>0</v>
      </c>
    </row>
    <row r="61" spans="1:15" ht="19.5" customHeight="1" thickBot="1">
      <c r="A61" s="106" t="s">
        <v>18</v>
      </c>
      <c r="B61" s="107"/>
      <c r="C61" s="108"/>
      <c r="D61" s="67">
        <f>SUM(D50:D60)</f>
        <v>10731000000</v>
      </c>
      <c r="E61" s="106"/>
      <c r="F61" s="109"/>
      <c r="G61" s="50">
        <f>SUM(G50:G60)</f>
        <v>9172069085</v>
      </c>
      <c r="H61" s="50">
        <f>SUM(H50:H60)</f>
        <v>8185920398</v>
      </c>
      <c r="I61" s="50">
        <f>G61-H61</f>
        <v>986148687</v>
      </c>
      <c r="J61" s="51">
        <f>D61-H61</f>
        <v>2545079602</v>
      </c>
      <c r="K61" s="52">
        <f>H61/D61</f>
        <v>0.7628292235579163</v>
      </c>
      <c r="L61" s="57"/>
      <c r="M61" s="51">
        <f>D61-G61</f>
        <v>1558930915</v>
      </c>
      <c r="O61" s="84"/>
    </row>
    <row r="62" spans="1:15" s="2" customFormat="1" ht="18" customHeight="1" thickBot="1">
      <c r="A62" s="147" t="s">
        <v>12</v>
      </c>
      <c r="B62" s="148"/>
      <c r="C62" s="148"/>
      <c r="D62" s="148"/>
      <c r="E62" s="148"/>
      <c r="F62" s="149"/>
      <c r="G62" s="153" t="s">
        <v>233</v>
      </c>
      <c r="H62" s="154"/>
      <c r="I62" s="154"/>
      <c r="J62" s="154"/>
      <c r="K62" s="155"/>
      <c r="M62" s="56"/>
      <c r="O62" s="90"/>
    </row>
    <row r="63" spans="1:13" s="2" customFormat="1" ht="32.25" thickBot="1">
      <c r="A63" s="35" t="s">
        <v>149</v>
      </c>
      <c r="B63" s="13" t="s">
        <v>133</v>
      </c>
      <c r="C63" s="21" t="s">
        <v>27</v>
      </c>
      <c r="D63" s="22">
        <v>996000000</v>
      </c>
      <c r="E63" s="13" t="s">
        <v>148</v>
      </c>
      <c r="F63" s="13" t="s">
        <v>134</v>
      </c>
      <c r="G63" s="42">
        <f>1747650+74380211+854813989</f>
        <v>930941850</v>
      </c>
      <c r="H63" s="42">
        <f>1747650+854759560</f>
        <v>856507210</v>
      </c>
      <c r="I63" s="42">
        <f>G63-H63</f>
        <v>74434640</v>
      </c>
      <c r="J63" s="42">
        <f>D63-H63</f>
        <v>139492790</v>
      </c>
      <c r="K63" s="43">
        <f>H63/D63</f>
        <v>0.8599469979919678</v>
      </c>
      <c r="M63" s="44">
        <f>D63-G63</f>
        <v>65058150</v>
      </c>
    </row>
    <row r="64" spans="1:13" s="2" customFormat="1" ht="72.75" customHeight="1" thickBot="1">
      <c r="A64" s="35" t="s">
        <v>150</v>
      </c>
      <c r="B64" s="13" t="s">
        <v>151</v>
      </c>
      <c r="C64" s="21" t="s">
        <v>25</v>
      </c>
      <c r="D64" s="22">
        <v>0</v>
      </c>
      <c r="E64" s="13" t="s">
        <v>152</v>
      </c>
      <c r="F64" s="13" t="s">
        <v>153</v>
      </c>
      <c r="G64" s="42">
        <v>0</v>
      </c>
      <c r="H64" s="42">
        <v>0</v>
      </c>
      <c r="I64" s="42">
        <f>G64-H64</f>
        <v>0</v>
      </c>
      <c r="J64" s="42">
        <f>D64-H64</f>
        <v>0</v>
      </c>
      <c r="K64" s="43" t="e">
        <f>H64/D64</f>
        <v>#DIV/0!</v>
      </c>
      <c r="M64" s="44">
        <f>D64-G64</f>
        <v>0</v>
      </c>
    </row>
    <row r="65" spans="1:13" s="2" customFormat="1" ht="19.5" customHeight="1" thickBot="1">
      <c r="A65" s="106" t="s">
        <v>18</v>
      </c>
      <c r="B65" s="107"/>
      <c r="C65" s="108"/>
      <c r="D65" s="68">
        <f>SUM(D63:D64)</f>
        <v>996000000</v>
      </c>
      <c r="E65" s="106"/>
      <c r="F65" s="109"/>
      <c r="G65" s="50">
        <f>SUM(G63:G64)</f>
        <v>930941850</v>
      </c>
      <c r="H65" s="50">
        <f>SUM(H63:H64)</f>
        <v>856507210</v>
      </c>
      <c r="I65" s="50">
        <f>G65-H65</f>
        <v>74434640</v>
      </c>
      <c r="J65" s="69">
        <f>D65-H65</f>
        <v>139492790</v>
      </c>
      <c r="K65" s="52">
        <f>H63/D63</f>
        <v>0.8599469979919678</v>
      </c>
      <c r="L65" s="54"/>
      <c r="M65" s="51">
        <f>D65-G65</f>
        <v>65058150</v>
      </c>
    </row>
    <row r="66" spans="1:13" s="2" customFormat="1" ht="19.5" customHeight="1" thickBot="1">
      <c r="A66" s="147" t="s">
        <v>174</v>
      </c>
      <c r="B66" s="148"/>
      <c r="C66" s="148"/>
      <c r="D66" s="148"/>
      <c r="E66" s="148"/>
      <c r="F66" s="149"/>
      <c r="G66" s="153" t="s">
        <v>234</v>
      </c>
      <c r="H66" s="154"/>
      <c r="I66" s="154"/>
      <c r="J66" s="154"/>
      <c r="K66" s="155"/>
      <c r="M66" s="56"/>
    </row>
    <row r="67" spans="1:13" s="2" customFormat="1" ht="34.5" customHeight="1" thickBot="1">
      <c r="A67" s="35" t="s">
        <v>175</v>
      </c>
      <c r="B67" s="13" t="s">
        <v>171</v>
      </c>
      <c r="C67" s="21" t="s">
        <v>27</v>
      </c>
      <c r="D67" s="22">
        <v>1649248000</v>
      </c>
      <c r="E67" s="13" t="s">
        <v>172</v>
      </c>
      <c r="F67" s="13" t="s">
        <v>173</v>
      </c>
      <c r="G67" s="42">
        <v>1649248000</v>
      </c>
      <c r="H67" s="42">
        <v>1632375000</v>
      </c>
      <c r="I67" s="42">
        <f>G67-H67</f>
        <v>16873000</v>
      </c>
      <c r="J67" s="42">
        <f>D67-H67</f>
        <v>16873000</v>
      </c>
      <c r="K67" s="43">
        <f>H67/D67</f>
        <v>0.9897692766642736</v>
      </c>
      <c r="M67" s="42">
        <f>D67-G67</f>
        <v>0</v>
      </c>
    </row>
    <row r="68" spans="1:13" s="2" customFormat="1" ht="19.5" customHeight="1" thickBot="1">
      <c r="A68" s="106" t="s">
        <v>18</v>
      </c>
      <c r="B68" s="107"/>
      <c r="C68" s="108"/>
      <c r="D68" s="68">
        <f>SUM(D67:D67)</f>
        <v>1649248000</v>
      </c>
      <c r="E68" s="106"/>
      <c r="F68" s="109"/>
      <c r="G68" s="50">
        <f>G67</f>
        <v>1649248000</v>
      </c>
      <c r="H68" s="50">
        <f>H67</f>
        <v>1632375000</v>
      </c>
      <c r="I68" s="50">
        <f>G68-H68</f>
        <v>16873000</v>
      </c>
      <c r="J68" s="51">
        <f>D68-H68</f>
        <v>16873000</v>
      </c>
      <c r="K68" s="52">
        <f>H68/D68</f>
        <v>0.9897692766642736</v>
      </c>
      <c r="L68" s="54"/>
      <c r="M68" s="51">
        <f>M67</f>
        <v>0</v>
      </c>
    </row>
    <row r="69" spans="1:13" ht="16.5" customHeight="1" thickBot="1">
      <c r="A69" s="147" t="s">
        <v>19</v>
      </c>
      <c r="B69" s="148"/>
      <c r="C69" s="148"/>
      <c r="D69" s="148"/>
      <c r="E69" s="148"/>
      <c r="F69" s="149"/>
      <c r="G69" s="153" t="s">
        <v>234</v>
      </c>
      <c r="H69" s="154"/>
      <c r="I69" s="154"/>
      <c r="J69" s="154"/>
      <c r="K69" s="155"/>
      <c r="M69" s="56"/>
    </row>
    <row r="70" spans="1:13" ht="24.75" customHeight="1" thickBot="1">
      <c r="A70" s="35" t="s">
        <v>28</v>
      </c>
      <c r="B70" s="13" t="s">
        <v>133</v>
      </c>
      <c r="C70" s="21" t="s">
        <v>25</v>
      </c>
      <c r="D70" s="22">
        <v>1151001000</v>
      </c>
      <c r="E70" s="13" t="s">
        <v>85</v>
      </c>
      <c r="F70" s="13" t="s">
        <v>129</v>
      </c>
      <c r="G70" s="42">
        <f>395611160+3985990+105605090+557970</f>
        <v>505760210</v>
      </c>
      <c r="H70" s="42">
        <f>395611160+3985990+105605090+557970</f>
        <v>505760210</v>
      </c>
      <c r="I70" s="42">
        <f aca="true" t="shared" si="12" ref="I70:I76">G70-H70</f>
        <v>0</v>
      </c>
      <c r="J70" s="42">
        <f aca="true" t="shared" si="13" ref="J70:J76">D70-H70</f>
        <v>645240790</v>
      </c>
      <c r="K70" s="43">
        <f aca="true" t="shared" si="14" ref="K70:K76">H70/D70</f>
        <v>0.4394090100703648</v>
      </c>
      <c r="L70" s="2"/>
      <c r="M70" s="44">
        <f aca="true" t="shared" si="15" ref="M70:M76">D70-G70</f>
        <v>645240790</v>
      </c>
    </row>
    <row r="71" spans="1:13" ht="24.75" customHeight="1" thickBot="1">
      <c r="A71" s="35" t="s">
        <v>29</v>
      </c>
      <c r="B71" s="13" t="s">
        <v>133</v>
      </c>
      <c r="C71" s="21" t="s">
        <v>25</v>
      </c>
      <c r="D71" s="22"/>
      <c r="E71" s="13" t="s">
        <v>85</v>
      </c>
      <c r="F71" s="13" t="s">
        <v>129</v>
      </c>
      <c r="G71" s="42">
        <v>0</v>
      </c>
      <c r="H71" s="42">
        <v>0</v>
      </c>
      <c r="I71" s="42">
        <f t="shared" si="12"/>
        <v>0</v>
      </c>
      <c r="J71" s="42">
        <f t="shared" si="13"/>
        <v>0</v>
      </c>
      <c r="K71" s="43" t="e">
        <f t="shared" si="14"/>
        <v>#DIV/0!</v>
      </c>
      <c r="L71" s="2"/>
      <c r="M71" s="44">
        <f t="shared" si="15"/>
        <v>0</v>
      </c>
    </row>
    <row r="72" spans="1:13" ht="24.75" customHeight="1" thickBot="1">
      <c r="A72" s="35" t="s">
        <v>46</v>
      </c>
      <c r="B72" s="13" t="s">
        <v>133</v>
      </c>
      <c r="C72" s="21" t="s">
        <v>25</v>
      </c>
      <c r="D72" s="22">
        <v>401871000</v>
      </c>
      <c r="E72" s="13" t="s">
        <v>85</v>
      </c>
      <c r="F72" s="13" t="s">
        <v>129</v>
      </c>
      <c r="G72" s="42">
        <f>108760260+24701590</f>
        <v>133461850</v>
      </c>
      <c r="H72" s="42">
        <f>108760260+24701590</f>
        <v>133461850</v>
      </c>
      <c r="I72" s="42">
        <f t="shared" si="12"/>
        <v>0</v>
      </c>
      <c r="J72" s="42">
        <f t="shared" si="13"/>
        <v>268409150</v>
      </c>
      <c r="K72" s="43">
        <f t="shared" si="14"/>
        <v>0.33210122153626415</v>
      </c>
      <c r="L72" s="2"/>
      <c r="M72" s="44">
        <f t="shared" si="15"/>
        <v>268409150</v>
      </c>
    </row>
    <row r="73" spans="1:13" ht="24.75" customHeight="1" thickBot="1">
      <c r="A73" s="35" t="s">
        <v>30</v>
      </c>
      <c r="B73" s="13" t="s">
        <v>133</v>
      </c>
      <c r="C73" s="21" t="s">
        <v>25</v>
      </c>
      <c r="D73" s="22"/>
      <c r="E73" s="13" t="s">
        <v>85</v>
      </c>
      <c r="F73" s="13" t="s">
        <v>129</v>
      </c>
      <c r="G73" s="42">
        <v>0</v>
      </c>
      <c r="H73" s="42">
        <v>0</v>
      </c>
      <c r="I73" s="42">
        <f t="shared" si="12"/>
        <v>0</v>
      </c>
      <c r="J73" s="42">
        <f t="shared" si="13"/>
        <v>0</v>
      </c>
      <c r="K73" s="43" t="e">
        <f t="shared" si="14"/>
        <v>#DIV/0!</v>
      </c>
      <c r="L73" s="2"/>
      <c r="M73" s="44">
        <f t="shared" si="15"/>
        <v>0</v>
      </c>
    </row>
    <row r="74" spans="1:13" ht="24.75" customHeight="1" thickBot="1">
      <c r="A74" s="35" t="s">
        <v>73</v>
      </c>
      <c r="B74" s="13" t="s">
        <v>133</v>
      </c>
      <c r="C74" s="21" t="s">
        <v>25</v>
      </c>
      <c r="D74" s="22">
        <v>133394000</v>
      </c>
      <c r="E74" s="13" t="s">
        <v>85</v>
      </c>
      <c r="F74" s="13" t="s">
        <v>129</v>
      </c>
      <c r="G74" s="42">
        <f>402930+119530</f>
        <v>522460</v>
      </c>
      <c r="H74" s="42">
        <f>402930+119530</f>
        <v>522460</v>
      </c>
      <c r="I74" s="42">
        <f t="shared" si="12"/>
        <v>0</v>
      </c>
      <c r="J74" s="42">
        <f t="shared" si="13"/>
        <v>132871540</v>
      </c>
      <c r="K74" s="43">
        <f t="shared" si="14"/>
        <v>0.003916667916098175</v>
      </c>
      <c r="L74" s="2"/>
      <c r="M74" s="44">
        <f t="shared" si="15"/>
        <v>132871540</v>
      </c>
    </row>
    <row r="75" spans="1:13" ht="24.75" customHeight="1" thickBot="1">
      <c r="A75" s="35" t="s">
        <v>31</v>
      </c>
      <c r="B75" s="13" t="s">
        <v>133</v>
      </c>
      <c r="C75" s="21" t="s">
        <v>25</v>
      </c>
      <c r="D75" s="22">
        <v>396713000</v>
      </c>
      <c r="E75" s="13" t="s">
        <v>85</v>
      </c>
      <c r="F75" s="13" t="s">
        <v>129</v>
      </c>
      <c r="G75" s="42">
        <v>161312787</v>
      </c>
      <c r="H75" s="42">
        <v>161312787</v>
      </c>
      <c r="I75" s="42">
        <f t="shared" si="12"/>
        <v>0</v>
      </c>
      <c r="J75" s="42">
        <f t="shared" si="13"/>
        <v>235400213</v>
      </c>
      <c r="K75" s="43">
        <f t="shared" si="14"/>
        <v>0.40662339525047075</v>
      </c>
      <c r="L75" s="2"/>
      <c r="M75" s="44">
        <f>D75-G75</f>
        <v>235400213</v>
      </c>
    </row>
    <row r="76" spans="1:13" ht="24.75" customHeight="1" thickBot="1">
      <c r="A76" s="35" t="s">
        <v>32</v>
      </c>
      <c r="B76" s="13" t="s">
        <v>133</v>
      </c>
      <c r="C76" s="21" t="s">
        <v>25</v>
      </c>
      <c r="D76" s="22">
        <v>1261000</v>
      </c>
      <c r="E76" s="13" t="s">
        <v>85</v>
      </c>
      <c r="F76" s="13" t="s">
        <v>129</v>
      </c>
      <c r="G76" s="42">
        <v>91440</v>
      </c>
      <c r="H76" s="42">
        <v>91440</v>
      </c>
      <c r="I76" s="42">
        <f t="shared" si="12"/>
        <v>0</v>
      </c>
      <c r="J76" s="42">
        <f t="shared" si="13"/>
        <v>1169560</v>
      </c>
      <c r="K76" s="43">
        <f t="shared" si="14"/>
        <v>0.07251387787470262</v>
      </c>
      <c r="L76" s="2"/>
      <c r="M76" s="44">
        <f t="shared" si="15"/>
        <v>1169560</v>
      </c>
    </row>
    <row r="77" spans="1:13" ht="20.25" customHeight="1" thickBot="1">
      <c r="A77" s="106" t="s">
        <v>18</v>
      </c>
      <c r="B77" s="107"/>
      <c r="C77" s="108"/>
      <c r="D77" s="66">
        <f>SUM(D70:D76)</f>
        <v>2084240000</v>
      </c>
      <c r="E77" s="106"/>
      <c r="F77" s="109"/>
      <c r="G77" s="50">
        <f>SUM(G70:G76)</f>
        <v>801148747</v>
      </c>
      <c r="H77" s="50">
        <f>SUM(H70:H76)</f>
        <v>801148747</v>
      </c>
      <c r="I77" s="50">
        <f>G77-H77</f>
        <v>0</v>
      </c>
      <c r="J77" s="51">
        <f>D77-H77</f>
        <v>1283091253</v>
      </c>
      <c r="K77" s="52">
        <f>H77/D77</f>
        <v>0.384384114593329</v>
      </c>
      <c r="L77" s="57"/>
      <c r="M77" s="51">
        <f>D77-G77</f>
        <v>1283091253</v>
      </c>
    </row>
    <row r="78" spans="1:13" ht="24.75" customHeight="1" thickBot="1">
      <c r="A78" s="156" t="s">
        <v>196</v>
      </c>
      <c r="B78" s="157"/>
      <c r="C78" s="158"/>
      <c r="D78" s="82">
        <f>+D7+D14+D17+D26+D29+D38+D42+D48+D61+D65+D77+D68</f>
        <v>19649877000</v>
      </c>
      <c r="E78" s="113"/>
      <c r="F78" s="114"/>
      <c r="G78" s="58">
        <f>G7+G14+G17+G26+G29+G38+G42+G48+G61+G65+G68+G77</f>
        <v>13882581278</v>
      </c>
      <c r="H78" s="58">
        <f>H7+H14+H17+H26+H29+H38+H42+H48+H61+H65+H68+H77</f>
        <v>11777384256</v>
      </c>
      <c r="I78" s="58">
        <f>G78-H78</f>
        <v>2105197022</v>
      </c>
      <c r="J78" s="58">
        <f>D78-H78</f>
        <v>7872492744</v>
      </c>
      <c r="K78" s="60">
        <f>H78/D78</f>
        <v>0.5993617291344877</v>
      </c>
      <c r="M78" s="59">
        <f>D78-G78</f>
        <v>5767295722</v>
      </c>
    </row>
    <row r="79" spans="1:6" ht="24.75" customHeight="1">
      <c r="A79" s="32"/>
      <c r="B79" s="33"/>
      <c r="C79" s="33"/>
      <c r="D79" s="6"/>
      <c r="E79" s="33"/>
      <c r="F79" s="34"/>
    </row>
    <row r="80" spans="1:6" ht="12" thickBot="1">
      <c r="A80" s="7"/>
      <c r="B80" s="11"/>
      <c r="C80" s="11"/>
      <c r="D80" s="3"/>
      <c r="E80" s="11"/>
      <c r="F80" s="8"/>
    </row>
    <row r="81" spans="1:13" ht="24.75" customHeight="1" thickBot="1">
      <c r="A81" s="138" t="s">
        <v>38</v>
      </c>
      <c r="B81" s="139"/>
      <c r="C81" s="139"/>
      <c r="D81" s="139"/>
      <c r="E81" s="139"/>
      <c r="F81" s="140"/>
      <c r="G81" s="141" t="s">
        <v>223</v>
      </c>
      <c r="H81" s="142"/>
      <c r="I81" s="142"/>
      <c r="J81" s="142"/>
      <c r="K81" s="143"/>
      <c r="M81" s="61"/>
    </row>
    <row r="82" spans="1:13" ht="49.5" customHeight="1" thickBot="1">
      <c r="A82" s="5" t="s">
        <v>39</v>
      </c>
      <c r="B82" s="5" t="s">
        <v>50</v>
      </c>
      <c r="C82" s="5" t="s">
        <v>24</v>
      </c>
      <c r="D82" s="5" t="s">
        <v>86</v>
      </c>
      <c r="E82" s="5" t="s">
        <v>157</v>
      </c>
      <c r="F82" s="5" t="s">
        <v>49</v>
      </c>
      <c r="G82" s="5" t="s">
        <v>242</v>
      </c>
      <c r="H82" s="5" t="s">
        <v>217</v>
      </c>
      <c r="I82" s="5" t="s">
        <v>218</v>
      </c>
      <c r="J82" s="5" t="s">
        <v>219</v>
      </c>
      <c r="K82" s="5" t="s">
        <v>220</v>
      </c>
      <c r="L82" s="2"/>
      <c r="M82" s="5" t="s">
        <v>221</v>
      </c>
    </row>
    <row r="83" spans="1:6" ht="10.5" customHeight="1" thickBot="1">
      <c r="A83" s="144"/>
      <c r="B83" s="145"/>
      <c r="C83" s="145"/>
      <c r="D83" s="145"/>
      <c r="E83" s="145"/>
      <c r="F83" s="146"/>
    </row>
    <row r="84" spans="1:13" ht="19.5" customHeight="1" thickBot="1">
      <c r="A84" s="147" t="s">
        <v>55</v>
      </c>
      <c r="B84" s="148"/>
      <c r="C84" s="148"/>
      <c r="D84" s="148"/>
      <c r="E84" s="148"/>
      <c r="F84" s="149"/>
      <c r="G84" s="103" t="s">
        <v>235</v>
      </c>
      <c r="H84" s="104"/>
      <c r="I84" s="104"/>
      <c r="J84" s="104"/>
      <c r="K84" s="105"/>
      <c r="M84" s="56"/>
    </row>
    <row r="85" spans="1:13" ht="36.75" customHeight="1" hidden="1" thickBot="1">
      <c r="A85" s="35" t="s">
        <v>56</v>
      </c>
      <c r="B85" s="85" t="s">
        <v>63</v>
      </c>
      <c r="C85" s="39" t="s">
        <v>26</v>
      </c>
      <c r="D85" s="22">
        <v>214000000</v>
      </c>
      <c r="E85" s="85">
        <v>2015</v>
      </c>
      <c r="F85" s="13" t="s">
        <v>132</v>
      </c>
      <c r="G85" s="42">
        <v>0</v>
      </c>
      <c r="H85" s="42">
        <v>0</v>
      </c>
      <c r="I85" s="42">
        <f aca="true" t="shared" si="16" ref="I85:I99">G85-H85</f>
        <v>0</v>
      </c>
      <c r="J85" s="42">
        <f aca="true" t="shared" si="17" ref="J85:J99">D85-H85</f>
        <v>214000000</v>
      </c>
      <c r="K85" s="43">
        <f aca="true" t="shared" si="18" ref="K85:K99">H85/D85</f>
        <v>0</v>
      </c>
      <c r="L85" s="2"/>
      <c r="M85" s="44">
        <f aca="true" t="shared" si="19" ref="M85:M99">D85-G85</f>
        <v>214000000</v>
      </c>
    </row>
    <row r="86" spans="1:13" ht="36.75" customHeight="1" hidden="1" thickBot="1">
      <c r="A86" s="35" t="s">
        <v>181</v>
      </c>
      <c r="B86" s="85" t="s">
        <v>63</v>
      </c>
      <c r="C86" s="39" t="s">
        <v>26</v>
      </c>
      <c r="D86" s="22">
        <v>146000000</v>
      </c>
      <c r="E86" s="85">
        <v>2015</v>
      </c>
      <c r="F86" s="13" t="s">
        <v>132</v>
      </c>
      <c r="G86" s="42">
        <v>0</v>
      </c>
      <c r="H86" s="42">
        <v>0</v>
      </c>
      <c r="I86" s="42">
        <f t="shared" si="16"/>
        <v>0</v>
      </c>
      <c r="J86" s="42">
        <f t="shared" si="17"/>
        <v>146000000</v>
      </c>
      <c r="K86" s="43">
        <f t="shared" si="18"/>
        <v>0</v>
      </c>
      <c r="L86" s="2"/>
      <c r="M86" s="44">
        <f t="shared" si="19"/>
        <v>146000000</v>
      </c>
    </row>
    <row r="87" spans="1:15" ht="36.75" customHeight="1" hidden="1" thickBot="1">
      <c r="A87" s="74" t="s">
        <v>57</v>
      </c>
      <c r="B87" s="75" t="s">
        <v>63</v>
      </c>
      <c r="C87" s="76" t="s">
        <v>27</v>
      </c>
      <c r="D87" s="77">
        <v>650000000</v>
      </c>
      <c r="E87" s="75">
        <v>2015</v>
      </c>
      <c r="F87" s="78" t="s">
        <v>132</v>
      </c>
      <c r="G87" s="79"/>
      <c r="H87" s="79"/>
      <c r="I87" s="79">
        <f t="shared" si="16"/>
        <v>0</v>
      </c>
      <c r="J87" s="79">
        <f t="shared" si="17"/>
        <v>650000000</v>
      </c>
      <c r="K87" s="80">
        <f t="shared" si="18"/>
        <v>0</v>
      </c>
      <c r="L87" s="2"/>
      <c r="M87" s="81">
        <f t="shared" si="19"/>
        <v>650000000</v>
      </c>
      <c r="O87" s="83"/>
    </row>
    <row r="88" spans="1:15" ht="36.75" customHeight="1" hidden="1" thickBot="1">
      <c r="A88" s="35" t="s">
        <v>182</v>
      </c>
      <c r="B88" s="85" t="s">
        <v>63</v>
      </c>
      <c r="C88" s="40" t="s">
        <v>27</v>
      </c>
      <c r="D88" s="22">
        <v>859000000</v>
      </c>
      <c r="E88" s="85">
        <v>2015</v>
      </c>
      <c r="F88" s="13" t="s">
        <v>132</v>
      </c>
      <c r="G88" s="42">
        <v>0</v>
      </c>
      <c r="H88" s="42">
        <v>0</v>
      </c>
      <c r="I88" s="42">
        <f t="shared" si="16"/>
        <v>0</v>
      </c>
      <c r="J88" s="42">
        <f t="shared" si="17"/>
        <v>859000000</v>
      </c>
      <c r="K88" s="43">
        <f t="shared" si="18"/>
        <v>0</v>
      </c>
      <c r="L88" s="2"/>
      <c r="M88" s="44">
        <f t="shared" si="19"/>
        <v>859000000</v>
      </c>
      <c r="O88" s="84"/>
    </row>
    <row r="89" spans="1:13" ht="36.75" customHeight="1" hidden="1" thickBot="1">
      <c r="A89" s="38" t="s">
        <v>215</v>
      </c>
      <c r="B89" s="85" t="s">
        <v>63</v>
      </c>
      <c r="C89" s="40" t="s">
        <v>27</v>
      </c>
      <c r="D89" s="22">
        <v>590000000</v>
      </c>
      <c r="E89" s="85">
        <v>2015</v>
      </c>
      <c r="F89" s="13" t="s">
        <v>132</v>
      </c>
      <c r="G89" s="42">
        <v>0</v>
      </c>
      <c r="H89" s="42">
        <v>0</v>
      </c>
      <c r="I89" s="42">
        <f t="shared" si="16"/>
        <v>0</v>
      </c>
      <c r="J89" s="42">
        <f t="shared" si="17"/>
        <v>590000000</v>
      </c>
      <c r="K89" s="43">
        <f t="shared" si="18"/>
        <v>0</v>
      </c>
      <c r="L89" s="2"/>
      <c r="M89" s="44">
        <f t="shared" si="19"/>
        <v>590000000</v>
      </c>
    </row>
    <row r="90" spans="1:13" ht="36.75" customHeight="1" hidden="1" thickBot="1">
      <c r="A90" s="35" t="s">
        <v>183</v>
      </c>
      <c r="B90" s="85" t="s">
        <v>63</v>
      </c>
      <c r="C90" s="40" t="s">
        <v>26</v>
      </c>
      <c r="D90" s="22">
        <v>250000000</v>
      </c>
      <c r="E90" s="85">
        <v>2015</v>
      </c>
      <c r="F90" s="13" t="s">
        <v>132</v>
      </c>
      <c r="G90" s="42">
        <v>0</v>
      </c>
      <c r="H90" s="42">
        <v>0</v>
      </c>
      <c r="I90" s="42">
        <f t="shared" si="16"/>
        <v>0</v>
      </c>
      <c r="J90" s="42">
        <f t="shared" si="17"/>
        <v>250000000</v>
      </c>
      <c r="K90" s="43">
        <f t="shared" si="18"/>
        <v>0</v>
      </c>
      <c r="L90" s="2"/>
      <c r="M90" s="44">
        <f t="shared" si="19"/>
        <v>250000000</v>
      </c>
    </row>
    <row r="91" spans="1:13" ht="36.75" customHeight="1" hidden="1" thickBot="1">
      <c r="A91" s="35" t="s">
        <v>58</v>
      </c>
      <c r="B91" s="85" t="s">
        <v>63</v>
      </c>
      <c r="C91" s="40" t="s">
        <v>26</v>
      </c>
      <c r="D91" s="22">
        <v>280000000</v>
      </c>
      <c r="E91" s="85">
        <v>2015</v>
      </c>
      <c r="F91" s="13" t="s">
        <v>132</v>
      </c>
      <c r="G91" s="42">
        <v>0</v>
      </c>
      <c r="H91" s="42">
        <v>0</v>
      </c>
      <c r="I91" s="42">
        <f t="shared" si="16"/>
        <v>0</v>
      </c>
      <c r="J91" s="42">
        <f t="shared" si="17"/>
        <v>280000000</v>
      </c>
      <c r="K91" s="43">
        <f t="shared" si="18"/>
        <v>0</v>
      </c>
      <c r="L91" s="2"/>
      <c r="M91" s="44">
        <f t="shared" si="19"/>
        <v>280000000</v>
      </c>
    </row>
    <row r="92" spans="1:13" ht="36.75" customHeight="1" hidden="1" thickBot="1">
      <c r="A92" s="35" t="s">
        <v>184</v>
      </c>
      <c r="B92" s="85" t="s">
        <v>63</v>
      </c>
      <c r="C92" s="40" t="s">
        <v>26</v>
      </c>
      <c r="D92" s="22">
        <v>70000000</v>
      </c>
      <c r="E92" s="85">
        <v>2015</v>
      </c>
      <c r="F92" s="13" t="s">
        <v>132</v>
      </c>
      <c r="G92" s="42">
        <v>0</v>
      </c>
      <c r="H92" s="42">
        <v>0</v>
      </c>
      <c r="I92" s="42">
        <f t="shared" si="16"/>
        <v>0</v>
      </c>
      <c r="J92" s="42">
        <f t="shared" si="17"/>
        <v>70000000</v>
      </c>
      <c r="K92" s="43">
        <f t="shared" si="18"/>
        <v>0</v>
      </c>
      <c r="L92" s="2"/>
      <c r="M92" s="44">
        <f t="shared" si="19"/>
        <v>70000000</v>
      </c>
    </row>
    <row r="93" spans="1:13" ht="36.75" customHeight="1" hidden="1" thickBot="1">
      <c r="A93" s="35" t="s">
        <v>185</v>
      </c>
      <c r="B93" s="85" t="s">
        <v>63</v>
      </c>
      <c r="C93" s="40" t="s">
        <v>27</v>
      </c>
      <c r="D93" s="22">
        <v>365000000</v>
      </c>
      <c r="E93" s="85">
        <v>2015</v>
      </c>
      <c r="F93" s="13" t="s">
        <v>132</v>
      </c>
      <c r="G93" s="42">
        <v>0</v>
      </c>
      <c r="H93" s="42">
        <v>0</v>
      </c>
      <c r="I93" s="42">
        <f t="shared" si="16"/>
        <v>0</v>
      </c>
      <c r="J93" s="42">
        <f t="shared" si="17"/>
        <v>365000000</v>
      </c>
      <c r="K93" s="43">
        <f t="shared" si="18"/>
        <v>0</v>
      </c>
      <c r="L93" s="2"/>
      <c r="M93" s="44">
        <f t="shared" si="19"/>
        <v>365000000</v>
      </c>
    </row>
    <row r="94" spans="1:13" ht="36.75" customHeight="1" hidden="1" thickBot="1">
      <c r="A94" s="35" t="s">
        <v>186</v>
      </c>
      <c r="B94" s="85" t="s">
        <v>63</v>
      </c>
      <c r="C94" s="40" t="s">
        <v>26</v>
      </c>
      <c r="D94" s="22">
        <v>100000000</v>
      </c>
      <c r="E94" s="85">
        <v>2015</v>
      </c>
      <c r="F94" s="13" t="s">
        <v>132</v>
      </c>
      <c r="G94" s="42">
        <v>0</v>
      </c>
      <c r="H94" s="42">
        <v>0</v>
      </c>
      <c r="I94" s="42">
        <f t="shared" si="16"/>
        <v>0</v>
      </c>
      <c r="J94" s="42">
        <f t="shared" si="17"/>
        <v>100000000</v>
      </c>
      <c r="K94" s="43">
        <f t="shared" si="18"/>
        <v>0</v>
      </c>
      <c r="L94" s="2"/>
      <c r="M94" s="44">
        <f t="shared" si="19"/>
        <v>100000000</v>
      </c>
    </row>
    <row r="95" spans="1:13" ht="36.75" customHeight="1" hidden="1" thickBot="1">
      <c r="A95" s="35" t="s">
        <v>187</v>
      </c>
      <c r="B95" s="85" t="s">
        <v>63</v>
      </c>
      <c r="C95" s="40" t="s">
        <v>27</v>
      </c>
      <c r="D95" s="22">
        <v>750000000</v>
      </c>
      <c r="E95" s="85">
        <v>2015</v>
      </c>
      <c r="F95" s="13" t="s">
        <v>132</v>
      </c>
      <c r="G95" s="42">
        <v>0</v>
      </c>
      <c r="H95" s="42">
        <v>0</v>
      </c>
      <c r="I95" s="42">
        <f t="shared" si="16"/>
        <v>0</v>
      </c>
      <c r="J95" s="42">
        <f t="shared" si="17"/>
        <v>750000000</v>
      </c>
      <c r="K95" s="43">
        <f t="shared" si="18"/>
        <v>0</v>
      </c>
      <c r="L95" s="2"/>
      <c r="M95" s="44">
        <f t="shared" si="19"/>
        <v>750000000</v>
      </c>
    </row>
    <row r="96" spans="1:13" ht="36.75" customHeight="1" hidden="1" thickBot="1">
      <c r="A96" s="35" t="s">
        <v>188</v>
      </c>
      <c r="B96" s="85" t="s">
        <v>63</v>
      </c>
      <c r="C96" s="40" t="s">
        <v>26</v>
      </c>
      <c r="D96" s="22">
        <v>100000000</v>
      </c>
      <c r="E96" s="85">
        <v>2015</v>
      </c>
      <c r="F96" s="13" t="s">
        <v>132</v>
      </c>
      <c r="G96" s="42">
        <v>0</v>
      </c>
      <c r="H96" s="42">
        <v>0</v>
      </c>
      <c r="I96" s="42">
        <f t="shared" si="16"/>
        <v>0</v>
      </c>
      <c r="J96" s="42">
        <f t="shared" si="17"/>
        <v>100000000</v>
      </c>
      <c r="K96" s="43">
        <f t="shared" si="18"/>
        <v>0</v>
      </c>
      <c r="L96" s="2"/>
      <c r="M96" s="44">
        <f t="shared" si="19"/>
        <v>100000000</v>
      </c>
    </row>
    <row r="97" spans="1:13" ht="36.75" customHeight="1" hidden="1" thickBot="1">
      <c r="A97" s="35" t="s">
        <v>189</v>
      </c>
      <c r="B97" s="85" t="s">
        <v>63</v>
      </c>
      <c r="C97" s="40" t="s">
        <v>26</v>
      </c>
      <c r="D97" s="22">
        <v>170000000</v>
      </c>
      <c r="E97" s="85">
        <v>2015</v>
      </c>
      <c r="F97" s="13" t="s">
        <v>132</v>
      </c>
      <c r="G97" s="42">
        <v>0</v>
      </c>
      <c r="H97" s="42">
        <v>0</v>
      </c>
      <c r="I97" s="42">
        <f t="shared" si="16"/>
        <v>0</v>
      </c>
      <c r="J97" s="42">
        <f t="shared" si="17"/>
        <v>170000000</v>
      </c>
      <c r="K97" s="43">
        <f t="shared" si="18"/>
        <v>0</v>
      </c>
      <c r="L97" s="2"/>
      <c r="M97" s="44">
        <f t="shared" si="19"/>
        <v>170000000</v>
      </c>
    </row>
    <row r="98" spans="1:13" ht="36.75" customHeight="1" hidden="1" thickBot="1">
      <c r="A98" s="35" t="s">
        <v>190</v>
      </c>
      <c r="B98" s="85" t="s">
        <v>63</v>
      </c>
      <c r="C98" s="40" t="s">
        <v>26</v>
      </c>
      <c r="D98" s="22">
        <v>100000000</v>
      </c>
      <c r="E98" s="85">
        <v>2015</v>
      </c>
      <c r="F98" s="13" t="s">
        <v>132</v>
      </c>
      <c r="G98" s="42">
        <v>0</v>
      </c>
      <c r="H98" s="42">
        <v>0</v>
      </c>
      <c r="I98" s="42">
        <f t="shared" si="16"/>
        <v>0</v>
      </c>
      <c r="J98" s="42">
        <f t="shared" si="17"/>
        <v>100000000</v>
      </c>
      <c r="K98" s="43">
        <f t="shared" si="18"/>
        <v>0</v>
      </c>
      <c r="L98" s="2"/>
      <c r="M98" s="44">
        <f t="shared" si="19"/>
        <v>100000000</v>
      </c>
    </row>
    <row r="99" spans="1:13" ht="36.75" customHeight="1" hidden="1" thickBot="1">
      <c r="A99" s="35" t="s">
        <v>216</v>
      </c>
      <c r="B99" s="13" t="s">
        <v>63</v>
      </c>
      <c r="C99" s="40" t="s">
        <v>26</v>
      </c>
      <c r="D99" s="22">
        <v>150000000</v>
      </c>
      <c r="E99" s="13">
        <v>2015</v>
      </c>
      <c r="F99" s="13" t="s">
        <v>132</v>
      </c>
      <c r="G99" s="42">
        <v>0</v>
      </c>
      <c r="H99" s="42">
        <v>0</v>
      </c>
      <c r="I99" s="42">
        <f t="shared" si="16"/>
        <v>0</v>
      </c>
      <c r="J99" s="42">
        <f t="shared" si="17"/>
        <v>150000000</v>
      </c>
      <c r="K99" s="43">
        <f t="shared" si="18"/>
        <v>0</v>
      </c>
      <c r="L99" s="2"/>
      <c r="M99" s="44">
        <f t="shared" si="19"/>
        <v>150000000</v>
      </c>
    </row>
    <row r="100" spans="1:13" ht="28.5" customHeight="1" thickBot="1">
      <c r="A100" s="106" t="s">
        <v>64</v>
      </c>
      <c r="B100" s="107"/>
      <c r="C100" s="108"/>
      <c r="D100" s="63">
        <f>SUM(D85:D99)</f>
        <v>4794000000</v>
      </c>
      <c r="E100" s="106"/>
      <c r="F100" s="109"/>
      <c r="G100" s="50">
        <v>996262473</v>
      </c>
      <c r="H100" s="50">
        <v>767226814</v>
      </c>
      <c r="I100" s="50">
        <f>G100-H100</f>
        <v>229035659</v>
      </c>
      <c r="J100" s="51">
        <f>D100-H100</f>
        <v>4026773186</v>
      </c>
      <c r="K100" s="52">
        <f>H100/D100</f>
        <v>0.16003896829370046</v>
      </c>
      <c r="L100" s="57"/>
      <c r="M100" s="51">
        <f>D100-G100</f>
        <v>3797737527</v>
      </c>
    </row>
    <row r="101" spans="1:6" ht="14.25" customHeight="1" thickBot="1">
      <c r="A101" s="150" t="s">
        <v>74</v>
      </c>
      <c r="B101" s="151"/>
      <c r="C101" s="151"/>
      <c r="D101" s="151"/>
      <c r="E101" s="151"/>
      <c r="F101" s="152"/>
    </row>
    <row r="102" spans="1:13" ht="18.75" customHeight="1" thickBot="1">
      <c r="A102" s="100" t="s">
        <v>53</v>
      </c>
      <c r="B102" s="101"/>
      <c r="C102" s="101"/>
      <c r="D102" s="101"/>
      <c r="E102" s="101"/>
      <c r="F102" s="102"/>
      <c r="G102" s="103" t="s">
        <v>236</v>
      </c>
      <c r="H102" s="104"/>
      <c r="I102" s="104"/>
      <c r="J102" s="104"/>
      <c r="K102" s="105"/>
      <c r="M102" s="56"/>
    </row>
    <row r="103" spans="1:13" ht="43.5" customHeight="1" thickBot="1">
      <c r="A103" s="35" t="s">
        <v>54</v>
      </c>
      <c r="B103" s="13" t="s">
        <v>3</v>
      </c>
      <c r="C103" s="13" t="s">
        <v>211</v>
      </c>
      <c r="D103" s="22">
        <v>4950000000</v>
      </c>
      <c r="E103" s="13" t="s">
        <v>85</v>
      </c>
      <c r="F103" s="13" t="s">
        <v>132</v>
      </c>
      <c r="G103" s="42">
        <v>2094481900</v>
      </c>
      <c r="H103" s="42">
        <v>0</v>
      </c>
      <c r="I103" s="42">
        <f>G103-H103</f>
        <v>2094481900</v>
      </c>
      <c r="J103" s="42">
        <f>D103-H103</f>
        <v>4950000000</v>
      </c>
      <c r="K103" s="43">
        <f>H103/D103</f>
        <v>0</v>
      </c>
      <c r="L103" s="2"/>
      <c r="M103" s="44">
        <f>D103-G103</f>
        <v>2855518100</v>
      </c>
    </row>
    <row r="104" spans="1:13" ht="48" customHeight="1" thickBot="1">
      <c r="A104" s="35" t="s">
        <v>77</v>
      </c>
      <c r="B104" s="13" t="s">
        <v>3</v>
      </c>
      <c r="C104" s="13" t="s">
        <v>211</v>
      </c>
      <c r="D104" s="22">
        <v>333750000</v>
      </c>
      <c r="E104" s="13" t="s">
        <v>85</v>
      </c>
      <c r="F104" s="13" t="s">
        <v>132</v>
      </c>
      <c r="G104" s="42">
        <v>0</v>
      </c>
      <c r="H104" s="42">
        <v>0</v>
      </c>
      <c r="I104" s="42">
        <f>G104-H104</f>
        <v>0</v>
      </c>
      <c r="J104" s="42">
        <f>D104-H104</f>
        <v>333750000</v>
      </c>
      <c r="K104" s="43">
        <f>H104/D104</f>
        <v>0</v>
      </c>
      <c r="L104" s="2"/>
      <c r="M104" s="44">
        <f>D104-G104</f>
        <v>333750000</v>
      </c>
    </row>
    <row r="105" spans="1:13" ht="47.25" customHeight="1" thickBot="1">
      <c r="A105" s="35" t="s">
        <v>78</v>
      </c>
      <c r="B105" s="26" t="s">
        <v>3</v>
      </c>
      <c r="C105" s="13" t="s">
        <v>211</v>
      </c>
      <c r="D105" s="22">
        <v>600000000</v>
      </c>
      <c r="E105" s="13" t="s">
        <v>85</v>
      </c>
      <c r="F105" s="23" t="s">
        <v>132</v>
      </c>
      <c r="G105" s="42">
        <v>0</v>
      </c>
      <c r="H105" s="42">
        <v>0</v>
      </c>
      <c r="I105" s="42">
        <f>G105-H105</f>
        <v>0</v>
      </c>
      <c r="J105" s="42">
        <f>D105-H105</f>
        <v>600000000</v>
      </c>
      <c r="K105" s="43">
        <f>H105/D105</f>
        <v>0</v>
      </c>
      <c r="L105" s="2"/>
      <c r="M105" s="44">
        <f>D105-G105</f>
        <v>600000000</v>
      </c>
    </row>
    <row r="106" spans="1:13" ht="45" customHeight="1" thickBot="1">
      <c r="A106" s="35" t="s">
        <v>197</v>
      </c>
      <c r="B106" s="13" t="s">
        <v>3</v>
      </c>
      <c r="C106" s="13" t="s">
        <v>211</v>
      </c>
      <c r="D106" s="22">
        <v>400000000</v>
      </c>
      <c r="E106" s="13" t="s">
        <v>85</v>
      </c>
      <c r="F106" s="13" t="s">
        <v>132</v>
      </c>
      <c r="G106" s="42">
        <v>0</v>
      </c>
      <c r="H106" s="42">
        <v>0</v>
      </c>
      <c r="I106" s="42">
        <f>G106-H106</f>
        <v>0</v>
      </c>
      <c r="J106" s="42">
        <f>D106-H106</f>
        <v>400000000</v>
      </c>
      <c r="K106" s="43">
        <f>H106/D106</f>
        <v>0</v>
      </c>
      <c r="L106" s="2"/>
      <c r="M106" s="44">
        <f>D106-G106</f>
        <v>400000000</v>
      </c>
    </row>
    <row r="107" spans="1:13" ht="47.25" customHeight="1" thickBot="1">
      <c r="A107" s="35" t="s">
        <v>156</v>
      </c>
      <c r="B107" s="13" t="s">
        <v>3</v>
      </c>
      <c r="C107" s="13" t="s">
        <v>211</v>
      </c>
      <c r="D107" s="22">
        <v>1150000000</v>
      </c>
      <c r="E107" s="29" t="s">
        <v>85</v>
      </c>
      <c r="F107" s="13" t="s">
        <v>132</v>
      </c>
      <c r="G107" s="42">
        <v>0</v>
      </c>
      <c r="H107" s="42">
        <v>0</v>
      </c>
      <c r="I107" s="42">
        <f>G107-H107</f>
        <v>0</v>
      </c>
      <c r="J107" s="42">
        <f>D107-H107</f>
        <v>1150000000</v>
      </c>
      <c r="K107" s="43">
        <f>H107/D107</f>
        <v>0</v>
      </c>
      <c r="L107" s="2"/>
      <c r="M107" s="44">
        <f>D107-G107</f>
        <v>1150000000</v>
      </c>
    </row>
    <row r="108" spans="1:13" ht="19.5" customHeight="1" thickBot="1">
      <c r="A108" s="106" t="s">
        <v>65</v>
      </c>
      <c r="B108" s="107"/>
      <c r="C108" s="108"/>
      <c r="D108" s="63">
        <f>SUM(D103:D107)</f>
        <v>7433750000</v>
      </c>
      <c r="E108" s="106"/>
      <c r="F108" s="109"/>
      <c r="G108" s="50">
        <f>SUM(G103:G107)</f>
        <v>2094481900</v>
      </c>
      <c r="H108" s="50">
        <f>SUM(H103:H107)</f>
        <v>0</v>
      </c>
      <c r="I108" s="50">
        <f>G108-H108</f>
        <v>2094481900</v>
      </c>
      <c r="J108" s="51">
        <f>D108-H108</f>
        <v>7433750000</v>
      </c>
      <c r="K108" s="52">
        <f>H108/D108</f>
        <v>0</v>
      </c>
      <c r="M108" s="51">
        <f>D108-G108</f>
        <v>5339268100</v>
      </c>
    </row>
    <row r="109" spans="1:6" ht="10.5" customHeight="1" thickBot="1">
      <c r="A109" s="135"/>
      <c r="B109" s="136"/>
      <c r="C109" s="136"/>
      <c r="D109" s="136"/>
      <c r="E109" s="136"/>
      <c r="F109" s="137"/>
    </row>
    <row r="110" spans="1:13" ht="19.5" customHeight="1" thickBot="1">
      <c r="A110" s="100" t="s">
        <v>158</v>
      </c>
      <c r="B110" s="101"/>
      <c r="C110" s="101"/>
      <c r="D110" s="101"/>
      <c r="E110" s="101"/>
      <c r="F110" s="102"/>
      <c r="G110" s="103" t="s">
        <v>237</v>
      </c>
      <c r="H110" s="104"/>
      <c r="I110" s="104"/>
      <c r="J110" s="104"/>
      <c r="K110" s="105"/>
      <c r="M110" s="56"/>
    </row>
    <row r="111" spans="1:6" ht="19.5" customHeight="1" thickBot="1">
      <c r="A111" s="125"/>
      <c r="B111" s="126"/>
      <c r="C111" s="127"/>
      <c r="D111" s="127"/>
      <c r="E111" s="126"/>
      <c r="F111" s="128"/>
    </row>
    <row r="112" spans="1:13" ht="41.25" customHeight="1" thickBot="1">
      <c r="A112" s="35" t="s">
        <v>159</v>
      </c>
      <c r="B112" s="13" t="s">
        <v>68</v>
      </c>
      <c r="C112" s="13" t="s">
        <v>211</v>
      </c>
      <c r="D112" s="22">
        <v>80000000</v>
      </c>
      <c r="E112" s="13" t="s">
        <v>85</v>
      </c>
      <c r="F112" s="13" t="s">
        <v>132</v>
      </c>
      <c r="G112" s="42">
        <v>0</v>
      </c>
      <c r="H112" s="42">
        <v>0</v>
      </c>
      <c r="I112" s="42">
        <f>G112-H112</f>
        <v>0</v>
      </c>
      <c r="J112" s="42">
        <f>D112-H112</f>
        <v>80000000</v>
      </c>
      <c r="K112" s="43">
        <f>H112/D112</f>
        <v>0</v>
      </c>
      <c r="L112" s="2"/>
      <c r="M112" s="44">
        <f>D112-G112</f>
        <v>80000000</v>
      </c>
    </row>
    <row r="113" spans="1:13" ht="44.25" customHeight="1" thickBot="1">
      <c r="A113" s="35" t="s">
        <v>160</v>
      </c>
      <c r="B113" s="13" t="s">
        <v>68</v>
      </c>
      <c r="C113" s="13" t="s">
        <v>211</v>
      </c>
      <c r="D113" s="22">
        <v>2060000000</v>
      </c>
      <c r="E113" s="13" t="s">
        <v>85</v>
      </c>
      <c r="F113" s="13" t="s">
        <v>132</v>
      </c>
      <c r="G113" s="42">
        <v>0</v>
      </c>
      <c r="H113" s="42">
        <v>0</v>
      </c>
      <c r="I113" s="42">
        <f>G113-H113</f>
        <v>0</v>
      </c>
      <c r="J113" s="42">
        <f>D113-H113</f>
        <v>2060000000</v>
      </c>
      <c r="K113" s="43">
        <f>H113/D113</f>
        <v>0</v>
      </c>
      <c r="L113" s="2"/>
      <c r="M113" s="44">
        <f>D113-G113</f>
        <v>2060000000</v>
      </c>
    </row>
    <row r="114" spans="1:13" ht="44.25" customHeight="1" thickBot="1">
      <c r="A114" s="35" t="s">
        <v>161</v>
      </c>
      <c r="B114" s="13" t="s">
        <v>68</v>
      </c>
      <c r="C114" s="13" t="s">
        <v>211</v>
      </c>
      <c r="D114" s="22">
        <v>1990000000</v>
      </c>
      <c r="E114" s="13" t="s">
        <v>85</v>
      </c>
      <c r="F114" s="23" t="s">
        <v>132</v>
      </c>
      <c r="G114" s="42">
        <f>261642000+10450000+8000000+7470000</f>
        <v>287562000</v>
      </c>
      <c r="H114" s="42">
        <v>261642000</v>
      </c>
      <c r="I114" s="42">
        <f>G114-H114</f>
        <v>25920000</v>
      </c>
      <c r="J114" s="42">
        <f>D114-H114</f>
        <v>1728358000</v>
      </c>
      <c r="K114" s="43">
        <f>H114/D114</f>
        <v>0.131478391959799</v>
      </c>
      <c r="L114" s="2"/>
      <c r="M114" s="44">
        <f>D114-G114</f>
        <v>1702438000</v>
      </c>
    </row>
    <row r="115" spans="1:13" ht="27" customHeight="1" thickBot="1">
      <c r="A115" s="106" t="s">
        <v>67</v>
      </c>
      <c r="B115" s="107"/>
      <c r="C115" s="108"/>
      <c r="D115" s="63">
        <f>SUM(D112:D114)</f>
        <v>4130000000</v>
      </c>
      <c r="E115" s="106"/>
      <c r="F115" s="109"/>
      <c r="G115" s="50">
        <f>SUM(G112:G114)</f>
        <v>287562000</v>
      </c>
      <c r="H115" s="50">
        <f>SUM(H112:H114)</f>
        <v>261642000</v>
      </c>
      <c r="I115" s="50">
        <f>G115-H115</f>
        <v>25920000</v>
      </c>
      <c r="J115" s="51">
        <f>D115-H115</f>
        <v>3868358000</v>
      </c>
      <c r="K115" s="52">
        <f>H115/D115</f>
        <v>0.06335157384987894</v>
      </c>
      <c r="L115" s="57"/>
      <c r="M115" s="51">
        <f>D115-G115</f>
        <v>3842438000</v>
      </c>
    </row>
    <row r="116" spans="1:6" ht="10.5" customHeight="1" thickBot="1">
      <c r="A116" s="14"/>
      <c r="B116" s="15"/>
      <c r="C116" s="15"/>
      <c r="D116" s="16"/>
      <c r="E116" s="87"/>
      <c r="F116" s="88"/>
    </row>
    <row r="117" spans="1:15" ht="19.5" customHeight="1" thickBot="1">
      <c r="A117" s="129" t="s">
        <v>62</v>
      </c>
      <c r="B117" s="130"/>
      <c r="C117" s="130"/>
      <c r="D117" s="130"/>
      <c r="E117" s="130"/>
      <c r="F117" s="131"/>
      <c r="G117" s="103" t="s">
        <v>238</v>
      </c>
      <c r="H117" s="104"/>
      <c r="I117" s="104"/>
      <c r="J117" s="104"/>
      <c r="K117" s="105"/>
      <c r="M117" s="56"/>
      <c r="O117" s="72"/>
    </row>
    <row r="118" spans="1:15" ht="32.25" thickBot="1">
      <c r="A118" s="35" t="s">
        <v>162</v>
      </c>
      <c r="B118" s="24" t="s">
        <v>167</v>
      </c>
      <c r="C118" s="132" t="s">
        <v>166</v>
      </c>
      <c r="D118" s="22">
        <v>1400000000</v>
      </c>
      <c r="E118" s="13" t="s">
        <v>85</v>
      </c>
      <c r="F118" s="13" t="s">
        <v>132</v>
      </c>
      <c r="G118" s="42">
        <v>0</v>
      </c>
      <c r="H118" s="42">
        <v>0</v>
      </c>
      <c r="I118" s="42">
        <f>G118-H118</f>
        <v>0</v>
      </c>
      <c r="J118" s="42">
        <f>D118-H118</f>
        <v>1400000000</v>
      </c>
      <c r="K118" s="43">
        <f>H118/D118</f>
        <v>0</v>
      </c>
      <c r="L118" s="2"/>
      <c r="M118" s="44">
        <f>D118-G118</f>
        <v>1400000000</v>
      </c>
      <c r="O118" s="72"/>
    </row>
    <row r="119" spans="1:15" ht="32.25" thickBot="1">
      <c r="A119" s="35" t="s">
        <v>163</v>
      </c>
      <c r="B119" s="29" t="s">
        <v>126</v>
      </c>
      <c r="C119" s="133"/>
      <c r="D119" s="22">
        <v>960000000</v>
      </c>
      <c r="E119" s="13" t="s">
        <v>85</v>
      </c>
      <c r="F119" s="13" t="s">
        <v>132</v>
      </c>
      <c r="G119" s="42">
        <f>618217620-29640100+29640100+25600000+50600000</f>
        <v>694417620</v>
      </c>
      <c r="H119" s="42">
        <f>332401930+3729736+42527100+50000000+600060</f>
        <v>429258826</v>
      </c>
      <c r="I119" s="42">
        <f>G119-H119</f>
        <v>265158794</v>
      </c>
      <c r="J119" s="42">
        <f>D119-H119</f>
        <v>530741174</v>
      </c>
      <c r="K119" s="43">
        <f>H119/D119</f>
        <v>0.44714461041666664</v>
      </c>
      <c r="L119" s="2"/>
      <c r="M119" s="44">
        <f>D119-G119</f>
        <v>265582380</v>
      </c>
      <c r="O119" s="72"/>
    </row>
    <row r="120" spans="1:15" ht="32.25" thickBot="1">
      <c r="A120" s="35" t="s">
        <v>164</v>
      </c>
      <c r="B120" s="24" t="s">
        <v>168</v>
      </c>
      <c r="C120" s="133"/>
      <c r="D120" s="22">
        <v>510000000</v>
      </c>
      <c r="E120" s="13" t="s">
        <v>85</v>
      </c>
      <c r="F120" s="13" t="s">
        <v>132</v>
      </c>
      <c r="G120" s="42">
        <v>137802270</v>
      </c>
      <c r="H120" s="42">
        <f>15464400+17397450</f>
        <v>32861850</v>
      </c>
      <c r="I120" s="42">
        <f>G120-H120</f>
        <v>104940420</v>
      </c>
      <c r="J120" s="42">
        <f>D120-H120</f>
        <v>477138150</v>
      </c>
      <c r="K120" s="43">
        <f>H120/D120</f>
        <v>0.064435</v>
      </c>
      <c r="L120" s="2"/>
      <c r="M120" s="44">
        <f>D120-G120</f>
        <v>372197730</v>
      </c>
      <c r="O120" s="72"/>
    </row>
    <row r="121" spans="1:15" ht="39" customHeight="1" thickBot="1">
      <c r="A121" s="35" t="s">
        <v>165</v>
      </c>
      <c r="B121" s="24" t="s">
        <v>176</v>
      </c>
      <c r="C121" s="134"/>
      <c r="D121" s="22">
        <v>750000000</v>
      </c>
      <c r="E121" s="13" t="s">
        <v>85</v>
      </c>
      <c r="F121" s="13" t="s">
        <v>132</v>
      </c>
      <c r="G121" s="42">
        <f>116498480+15464400+15464400</f>
        <v>147427280</v>
      </c>
      <c r="H121" s="42">
        <f>101034080+15464400+20748070</f>
        <v>137246550</v>
      </c>
      <c r="I121" s="42">
        <f>G121-H121</f>
        <v>10180730</v>
      </c>
      <c r="J121" s="42">
        <f>D121-H121</f>
        <v>612753450</v>
      </c>
      <c r="K121" s="43">
        <f>H121/D121</f>
        <v>0.1829954</v>
      </c>
      <c r="L121" s="2"/>
      <c r="M121" s="44">
        <f>D121-G121</f>
        <v>602572720</v>
      </c>
      <c r="O121" s="72"/>
    </row>
    <row r="122" spans="1:15" ht="18" customHeight="1" thickBot="1">
      <c r="A122" s="106" t="s">
        <v>72</v>
      </c>
      <c r="B122" s="107"/>
      <c r="C122" s="108"/>
      <c r="D122" s="70">
        <f>SUM(D118:D121)</f>
        <v>3620000000</v>
      </c>
      <c r="E122" s="106"/>
      <c r="F122" s="109"/>
      <c r="G122" s="50">
        <f>SUM(G118:G121)</f>
        <v>979647170</v>
      </c>
      <c r="H122" s="50">
        <f>SUM(H118:H121)</f>
        <v>599367226</v>
      </c>
      <c r="I122" s="50">
        <f>G122-H122</f>
        <v>380279944</v>
      </c>
      <c r="J122" s="51">
        <f>D122-H122</f>
        <v>3020632774</v>
      </c>
      <c r="K122" s="52">
        <f>H122/D122</f>
        <v>0.16557105690607735</v>
      </c>
      <c r="L122" s="57"/>
      <c r="M122" s="51">
        <f>D122-G122</f>
        <v>2640352830</v>
      </c>
      <c r="O122" s="72"/>
    </row>
    <row r="123" spans="1:15" s="2" customFormat="1" ht="10.5" customHeight="1" thickBot="1">
      <c r="A123" s="14"/>
      <c r="B123" s="15"/>
      <c r="C123" s="15"/>
      <c r="D123" s="20"/>
      <c r="E123" s="87"/>
      <c r="F123" s="88"/>
      <c r="O123" s="71"/>
    </row>
    <row r="124" spans="1:15" ht="19.5" customHeight="1" thickBot="1">
      <c r="A124" s="129" t="s">
        <v>52</v>
      </c>
      <c r="B124" s="130"/>
      <c r="C124" s="130"/>
      <c r="D124" s="130"/>
      <c r="E124" s="130"/>
      <c r="F124" s="131"/>
      <c r="G124" s="103" t="s">
        <v>239</v>
      </c>
      <c r="H124" s="104"/>
      <c r="I124" s="104"/>
      <c r="J124" s="104"/>
      <c r="K124" s="105"/>
      <c r="M124" s="56"/>
      <c r="O124" s="72"/>
    </row>
    <row r="125" spans="1:15" ht="69" customHeight="1" thickBot="1">
      <c r="A125" s="35" t="s">
        <v>179</v>
      </c>
      <c r="B125" s="13" t="s">
        <v>170</v>
      </c>
      <c r="C125" s="21" t="s">
        <v>27</v>
      </c>
      <c r="D125" s="36">
        <v>7815802050</v>
      </c>
      <c r="E125" s="13" t="s">
        <v>85</v>
      </c>
      <c r="F125" s="13" t="s">
        <v>132</v>
      </c>
      <c r="G125" s="42">
        <v>0</v>
      </c>
      <c r="H125" s="42">
        <v>0</v>
      </c>
      <c r="I125" s="42">
        <f>G125-H125</f>
        <v>0</v>
      </c>
      <c r="J125" s="42">
        <f>D125-H125</f>
        <v>7815802050</v>
      </c>
      <c r="K125" s="43">
        <f>H125/D125</f>
        <v>0</v>
      </c>
      <c r="L125" s="2"/>
      <c r="M125" s="44">
        <f>D125-G125</f>
        <v>7815802050</v>
      </c>
      <c r="O125" s="72"/>
    </row>
    <row r="126" spans="1:15" ht="34.5" customHeight="1" thickBot="1">
      <c r="A126" s="38" t="s">
        <v>198</v>
      </c>
      <c r="B126" s="13" t="s">
        <v>170</v>
      </c>
      <c r="C126" s="21" t="s">
        <v>25</v>
      </c>
      <c r="D126" s="36">
        <v>76447950</v>
      </c>
      <c r="E126" s="13" t="s">
        <v>85</v>
      </c>
      <c r="F126" s="13" t="s">
        <v>132</v>
      </c>
      <c r="G126" s="42">
        <v>0</v>
      </c>
      <c r="H126" s="42">
        <v>0</v>
      </c>
      <c r="I126" s="42">
        <f>G126-H126</f>
        <v>0</v>
      </c>
      <c r="J126" s="42">
        <f>D126-H126</f>
        <v>76447950</v>
      </c>
      <c r="K126" s="43">
        <f>H126/D126</f>
        <v>0</v>
      </c>
      <c r="L126" s="2"/>
      <c r="M126" s="44">
        <f>D126-G126</f>
        <v>76447950</v>
      </c>
      <c r="O126" s="72"/>
    </row>
    <row r="127" spans="1:15" ht="36.75" customHeight="1" thickBot="1">
      <c r="A127" s="35" t="s">
        <v>177</v>
      </c>
      <c r="B127" s="13" t="s">
        <v>170</v>
      </c>
      <c r="C127" s="21" t="s">
        <v>27</v>
      </c>
      <c r="D127" s="36">
        <v>4000000000</v>
      </c>
      <c r="E127" s="13" t="s">
        <v>85</v>
      </c>
      <c r="F127" s="23" t="s">
        <v>132</v>
      </c>
      <c r="G127" s="42">
        <v>0</v>
      </c>
      <c r="H127" s="42">
        <v>0</v>
      </c>
      <c r="I127" s="42">
        <f>G127-H127</f>
        <v>0</v>
      </c>
      <c r="J127" s="42">
        <f>D127-H127</f>
        <v>4000000000</v>
      </c>
      <c r="K127" s="43">
        <f>H127/D127</f>
        <v>0</v>
      </c>
      <c r="L127" s="2"/>
      <c r="M127" s="44">
        <f>D127-G127</f>
        <v>4000000000</v>
      </c>
      <c r="O127" s="72"/>
    </row>
    <row r="128" spans="1:15" ht="35.25" customHeight="1" thickBot="1">
      <c r="A128" s="35" t="s">
        <v>178</v>
      </c>
      <c r="B128" s="13" t="s">
        <v>170</v>
      </c>
      <c r="C128" s="21" t="s">
        <v>26</v>
      </c>
      <c r="D128" s="36">
        <v>180000000</v>
      </c>
      <c r="E128" s="13" t="s">
        <v>85</v>
      </c>
      <c r="F128" s="23" t="s">
        <v>132</v>
      </c>
      <c r="G128" s="42">
        <f>11069298+15464400+60000000+63600000</f>
        <v>150133698</v>
      </c>
      <c r="H128" s="42">
        <v>26533698</v>
      </c>
      <c r="I128" s="42">
        <f>G128-H128</f>
        <v>123600000</v>
      </c>
      <c r="J128" s="42">
        <f>D128-H128</f>
        <v>153466302</v>
      </c>
      <c r="K128" s="43">
        <f>H128/D128</f>
        <v>0.14740943333333334</v>
      </c>
      <c r="L128" s="2"/>
      <c r="M128" s="44">
        <f>D128-G128</f>
        <v>29866302</v>
      </c>
      <c r="O128" s="72"/>
    </row>
    <row r="129" spans="1:15" ht="39.75" customHeight="1" thickBot="1">
      <c r="A129" s="35" t="s">
        <v>180</v>
      </c>
      <c r="B129" s="13" t="s">
        <v>170</v>
      </c>
      <c r="C129" s="21" t="s">
        <v>26</v>
      </c>
      <c r="D129" s="36">
        <v>150000000</v>
      </c>
      <c r="E129" s="13" t="s">
        <v>85</v>
      </c>
      <c r="F129" s="23" t="s">
        <v>132</v>
      </c>
      <c r="G129" s="42">
        <v>0</v>
      </c>
      <c r="H129" s="42">
        <v>0</v>
      </c>
      <c r="I129" s="42">
        <f>G129-H129</f>
        <v>0</v>
      </c>
      <c r="J129" s="42">
        <f>D129-H129</f>
        <v>150000000</v>
      </c>
      <c r="K129" s="43">
        <f>H129/D129</f>
        <v>0</v>
      </c>
      <c r="L129" s="2"/>
      <c r="M129" s="44">
        <f>D129-G129</f>
        <v>150000000</v>
      </c>
      <c r="O129" s="72"/>
    </row>
    <row r="130" spans="1:15" ht="29.25" customHeight="1" thickBot="1">
      <c r="A130" s="106" t="s">
        <v>71</v>
      </c>
      <c r="B130" s="124"/>
      <c r="C130" s="109"/>
      <c r="D130" s="64">
        <f>SUM(D125:D129)</f>
        <v>12222250000</v>
      </c>
      <c r="E130" s="106"/>
      <c r="F130" s="109"/>
      <c r="G130" s="50">
        <f>SUM(G125:G129)</f>
        <v>150133698</v>
      </c>
      <c r="H130" s="50">
        <f>SUM(H125:H129)</f>
        <v>26533698</v>
      </c>
      <c r="I130" s="50">
        <f>G130-H130</f>
        <v>123600000</v>
      </c>
      <c r="J130" s="53">
        <f>D130-H130</f>
        <v>12195716302</v>
      </c>
      <c r="K130" s="52">
        <f>H130/D130</f>
        <v>0.0021709339933318333</v>
      </c>
      <c r="L130" s="57"/>
      <c r="M130" s="51">
        <f>D130-G130</f>
        <v>12072116302</v>
      </c>
      <c r="O130" s="72"/>
    </row>
    <row r="131" spans="1:15" s="2" customFormat="1" ht="13.5" customHeight="1" thickBot="1">
      <c r="A131" s="115"/>
      <c r="B131" s="116"/>
      <c r="C131" s="116"/>
      <c r="D131" s="116"/>
      <c r="E131" s="116"/>
      <c r="F131" s="117"/>
      <c r="O131" s="71"/>
    </row>
    <row r="132" spans="1:15" ht="19.5" customHeight="1" thickBot="1">
      <c r="A132" s="118" t="s">
        <v>199</v>
      </c>
      <c r="B132" s="119"/>
      <c r="C132" s="119"/>
      <c r="D132" s="119"/>
      <c r="E132" s="119"/>
      <c r="F132" s="120"/>
      <c r="G132" s="103" t="s">
        <v>240</v>
      </c>
      <c r="H132" s="104"/>
      <c r="I132" s="104"/>
      <c r="J132" s="104"/>
      <c r="K132" s="105"/>
      <c r="M132" s="56"/>
      <c r="O132" s="72"/>
    </row>
    <row r="133" spans="1:15" ht="19.5" customHeight="1" thickBot="1">
      <c r="A133" s="35" t="s">
        <v>59</v>
      </c>
      <c r="B133" s="24" t="s">
        <v>70</v>
      </c>
      <c r="C133" s="121" t="s">
        <v>166</v>
      </c>
      <c r="D133" s="22">
        <v>620000000</v>
      </c>
      <c r="E133" s="13" t="s">
        <v>85</v>
      </c>
      <c r="F133" s="13" t="s">
        <v>70</v>
      </c>
      <c r="G133" s="42">
        <v>620000000</v>
      </c>
      <c r="H133" s="42">
        <f>120654254+3056000+27548282</f>
        <v>151258536</v>
      </c>
      <c r="I133" s="42">
        <f>G133-H133</f>
        <v>468741464</v>
      </c>
      <c r="J133" s="42">
        <f>D133-H133</f>
        <v>468741464</v>
      </c>
      <c r="K133" s="43">
        <f>H133/D133</f>
        <v>0.2439653806451613</v>
      </c>
      <c r="L133" s="2"/>
      <c r="M133" s="44">
        <f>D133-G133</f>
        <v>0</v>
      </c>
      <c r="O133" s="72"/>
    </row>
    <row r="134" spans="1:15" ht="33.75" customHeight="1" thickBot="1">
      <c r="A134" s="35" t="s">
        <v>60</v>
      </c>
      <c r="B134" s="13" t="s">
        <v>70</v>
      </c>
      <c r="C134" s="122"/>
      <c r="D134" s="22">
        <v>1460000000</v>
      </c>
      <c r="E134" s="13" t="s">
        <v>85</v>
      </c>
      <c r="F134" s="13" t="s">
        <v>70</v>
      </c>
      <c r="G134" s="42">
        <f>372795184+7500000+711876+15464400-653010+187715603+136549150+21480992</f>
        <v>741564195</v>
      </c>
      <c r="H134" s="42">
        <f>324089329+7500000+711876+100865970+117961665</f>
        <v>551128840</v>
      </c>
      <c r="I134" s="42">
        <f>G134-H134</f>
        <v>190435355</v>
      </c>
      <c r="J134" s="42">
        <f>D134-H134</f>
        <v>908871160</v>
      </c>
      <c r="K134" s="43">
        <f>H134/D134</f>
        <v>0.3774855068493151</v>
      </c>
      <c r="L134" s="2"/>
      <c r="M134" s="44">
        <f>D134-G134</f>
        <v>718435805</v>
      </c>
      <c r="O134" s="72"/>
    </row>
    <row r="135" spans="1:15" ht="19.5" customHeight="1" thickBot="1">
      <c r="A135" s="35" t="s">
        <v>61</v>
      </c>
      <c r="B135" s="13" t="s">
        <v>70</v>
      </c>
      <c r="C135" s="123"/>
      <c r="D135" s="22">
        <v>420000000</v>
      </c>
      <c r="E135" s="13" t="s">
        <v>85</v>
      </c>
      <c r="F135" s="13" t="s">
        <v>70</v>
      </c>
      <c r="G135" s="42">
        <v>0</v>
      </c>
      <c r="H135" s="42">
        <v>0</v>
      </c>
      <c r="I135" s="42">
        <f>G135-H135</f>
        <v>0</v>
      </c>
      <c r="J135" s="42">
        <f>D135-H135</f>
        <v>420000000</v>
      </c>
      <c r="K135" s="43">
        <f>H135/D135</f>
        <v>0</v>
      </c>
      <c r="L135" s="2"/>
      <c r="M135" s="44">
        <f>D135-G135</f>
        <v>420000000</v>
      </c>
      <c r="O135" s="72"/>
    </row>
    <row r="136" spans="1:15" ht="25.5" customHeight="1" thickBot="1">
      <c r="A136" s="106" t="s">
        <v>200</v>
      </c>
      <c r="B136" s="107"/>
      <c r="C136" s="108"/>
      <c r="D136" s="64">
        <f>SUM(D133:D135)</f>
        <v>2500000000</v>
      </c>
      <c r="E136" s="106"/>
      <c r="F136" s="109"/>
      <c r="G136" s="50">
        <f>SUM(G133:G135)</f>
        <v>1361564195</v>
      </c>
      <c r="H136" s="50">
        <f>SUM(H133:H135)</f>
        <v>702387376</v>
      </c>
      <c r="I136" s="50">
        <f>G136-H136</f>
        <v>659176819</v>
      </c>
      <c r="J136" s="51">
        <f>D136-H136</f>
        <v>1797612624</v>
      </c>
      <c r="K136" s="52">
        <f>H136/D136</f>
        <v>0.2809549504</v>
      </c>
      <c r="L136" s="57"/>
      <c r="M136" s="51">
        <f>D136-G136</f>
        <v>1138435805</v>
      </c>
      <c r="O136" s="72"/>
    </row>
    <row r="137" spans="1:15" s="2" customFormat="1" ht="10.5" customHeight="1" thickBot="1">
      <c r="A137" s="17"/>
      <c r="B137" s="18"/>
      <c r="C137" s="18"/>
      <c r="D137" s="18"/>
      <c r="E137" s="18"/>
      <c r="F137" s="19"/>
      <c r="O137" s="71"/>
    </row>
    <row r="138" spans="1:15" ht="19.5" customHeight="1" thickBot="1">
      <c r="A138" s="100" t="s">
        <v>51</v>
      </c>
      <c r="B138" s="101"/>
      <c r="C138" s="101"/>
      <c r="D138" s="101"/>
      <c r="E138" s="101"/>
      <c r="F138" s="102"/>
      <c r="G138" s="103" t="s">
        <v>51</v>
      </c>
      <c r="H138" s="104"/>
      <c r="I138" s="104"/>
      <c r="J138" s="104"/>
      <c r="K138" s="105"/>
      <c r="M138" s="56"/>
      <c r="O138" s="72"/>
    </row>
    <row r="139" spans="1:15" ht="52.5" customHeight="1" thickBot="1">
      <c r="A139" s="35" t="s">
        <v>169</v>
      </c>
      <c r="B139" s="37" t="s">
        <v>170</v>
      </c>
      <c r="C139" s="30" t="s">
        <v>66</v>
      </c>
      <c r="D139" s="31">
        <v>10000000000</v>
      </c>
      <c r="E139" s="13" t="s">
        <v>85</v>
      </c>
      <c r="F139" s="13" t="s">
        <v>132</v>
      </c>
      <c r="G139" s="42">
        <v>0</v>
      </c>
      <c r="H139" s="42">
        <v>0</v>
      </c>
      <c r="I139" s="42">
        <f>G139-H139</f>
        <v>0</v>
      </c>
      <c r="J139" s="42">
        <f>D139-H139</f>
        <v>10000000000</v>
      </c>
      <c r="K139" s="43">
        <f>H139/D139</f>
        <v>0</v>
      </c>
      <c r="L139" s="2"/>
      <c r="M139" s="44">
        <f>D139-G139</f>
        <v>10000000000</v>
      </c>
      <c r="O139" s="72"/>
    </row>
    <row r="140" spans="1:13" ht="26.25" customHeight="1" thickBot="1">
      <c r="A140" s="106" t="s">
        <v>69</v>
      </c>
      <c r="B140" s="107"/>
      <c r="C140" s="108"/>
      <c r="D140" s="64">
        <f>D139</f>
        <v>10000000000</v>
      </c>
      <c r="E140" s="106"/>
      <c r="F140" s="109"/>
      <c r="G140" s="50">
        <f>G139</f>
        <v>0</v>
      </c>
      <c r="H140" s="50">
        <f>H139</f>
        <v>0</v>
      </c>
      <c r="I140" s="50">
        <f>G140-H140</f>
        <v>0</v>
      </c>
      <c r="J140" s="51">
        <f>D140-H140</f>
        <v>10000000000</v>
      </c>
      <c r="K140" s="52">
        <f>H140/D140</f>
        <v>0</v>
      </c>
      <c r="L140" s="54"/>
      <c r="M140" s="50">
        <f>G140-H140</f>
        <v>0</v>
      </c>
    </row>
    <row r="141" spans="1:6" ht="10.5" customHeight="1" thickBot="1">
      <c r="A141" s="110"/>
      <c r="B141" s="111"/>
      <c r="C141" s="111"/>
      <c r="D141" s="111"/>
      <c r="E141" s="111"/>
      <c r="F141" s="112"/>
    </row>
    <row r="142" spans="1:13" ht="19.5" customHeight="1" thickBot="1">
      <c r="A142" s="94" t="s">
        <v>201</v>
      </c>
      <c r="B142" s="95"/>
      <c r="C142" s="96"/>
      <c r="D142" s="65">
        <f>D100+D108+D115+D122+D130+D136+D140</f>
        <v>44700000000</v>
      </c>
      <c r="E142" s="113"/>
      <c r="F142" s="114"/>
      <c r="G142" s="58">
        <f>G100+G108+G115+G122+G130+G136+G140</f>
        <v>5869651436</v>
      </c>
      <c r="H142" s="58">
        <f>H100+H108+H115+H122+H130+H136+H140</f>
        <v>2357157114</v>
      </c>
      <c r="I142" s="58">
        <f>G142-H142</f>
        <v>3512494322</v>
      </c>
      <c r="J142" s="59">
        <f>D142-H142</f>
        <v>42342842886</v>
      </c>
      <c r="K142" s="60">
        <f>H142/D142</f>
        <v>0.05273282134228188</v>
      </c>
      <c r="L142" s="54"/>
      <c r="M142" s="59">
        <f>D142-G142</f>
        <v>38830348564</v>
      </c>
    </row>
    <row r="143" spans="1:6" ht="10.5" customHeight="1" thickBot="1">
      <c r="A143" s="91"/>
      <c r="B143" s="92"/>
      <c r="C143" s="92"/>
      <c r="D143" s="92"/>
      <c r="E143" s="92"/>
      <c r="F143" s="93"/>
    </row>
    <row r="144" spans="1:13" ht="19.5" customHeight="1" thickBot="1">
      <c r="A144" s="94" t="s">
        <v>76</v>
      </c>
      <c r="B144" s="95"/>
      <c r="C144" s="96"/>
      <c r="D144" s="65">
        <f>+D78+D142</f>
        <v>64349877000</v>
      </c>
      <c r="E144" s="97"/>
      <c r="F144" s="98"/>
      <c r="G144" s="58">
        <f>G78+G142</f>
        <v>19752232714</v>
      </c>
      <c r="H144" s="58">
        <f>H78+H142</f>
        <v>14134541370</v>
      </c>
      <c r="I144" s="58">
        <f>G144-H144</f>
        <v>5617691344</v>
      </c>
      <c r="J144" s="59">
        <f>D144-H144</f>
        <v>50215335630</v>
      </c>
      <c r="K144" s="60">
        <f>H144/D144</f>
        <v>0.21965141238731506</v>
      </c>
      <c r="L144" s="54"/>
      <c r="M144" s="59">
        <f>D144-G144</f>
        <v>44597644286</v>
      </c>
    </row>
    <row r="145" spans="1:6" ht="19.5" customHeight="1">
      <c r="A145" s="89"/>
      <c r="B145" s="89"/>
      <c r="C145" s="89"/>
      <c r="D145" s="4"/>
      <c r="E145" s="11"/>
      <c r="F145" s="11"/>
    </row>
    <row r="146" spans="1:6" ht="44.25" customHeight="1">
      <c r="A146" s="99"/>
      <c r="B146" s="99"/>
      <c r="C146" s="99"/>
      <c r="D146" s="99"/>
      <c r="E146" s="99"/>
      <c r="F146" s="99"/>
    </row>
    <row r="147" ht="24.75" customHeight="1"/>
  </sheetData>
  <sheetProtection/>
  <mergeCells count="98">
    <mergeCell ref="A1:M1"/>
    <mergeCell ref="A2:M2"/>
    <mergeCell ref="A3:F3"/>
    <mergeCell ref="G3:K3"/>
    <mergeCell ref="A5:F5"/>
    <mergeCell ref="G5:K5"/>
    <mergeCell ref="A7:C7"/>
    <mergeCell ref="E7:F7"/>
    <mergeCell ref="A8:F8"/>
    <mergeCell ref="G8:K8"/>
    <mergeCell ref="A14:C14"/>
    <mergeCell ref="E14:F14"/>
    <mergeCell ref="A15:F15"/>
    <mergeCell ref="G15:K15"/>
    <mergeCell ref="A17:C17"/>
    <mergeCell ref="E17:F17"/>
    <mergeCell ref="A18:F18"/>
    <mergeCell ref="G18:K18"/>
    <mergeCell ref="A26:C26"/>
    <mergeCell ref="E26:F26"/>
    <mergeCell ref="A27:F27"/>
    <mergeCell ref="G27:K27"/>
    <mergeCell ref="A29:C29"/>
    <mergeCell ref="E29:F29"/>
    <mergeCell ref="A30:F30"/>
    <mergeCell ref="G30:K30"/>
    <mergeCell ref="A38:C38"/>
    <mergeCell ref="E38:F38"/>
    <mergeCell ref="A39:F39"/>
    <mergeCell ref="G39:K39"/>
    <mergeCell ref="A42:C42"/>
    <mergeCell ref="E42:F42"/>
    <mergeCell ref="A43:F43"/>
    <mergeCell ref="G43:K43"/>
    <mergeCell ref="A48:C48"/>
    <mergeCell ref="E48:F48"/>
    <mergeCell ref="A49:F49"/>
    <mergeCell ref="G49:K49"/>
    <mergeCell ref="A61:C61"/>
    <mergeCell ref="E61:F61"/>
    <mergeCell ref="A62:F62"/>
    <mergeCell ref="G62:K62"/>
    <mergeCell ref="A65:C65"/>
    <mergeCell ref="E65:F65"/>
    <mergeCell ref="A66:F66"/>
    <mergeCell ref="G66:K66"/>
    <mergeCell ref="A68:C68"/>
    <mergeCell ref="E68:F68"/>
    <mergeCell ref="A69:F69"/>
    <mergeCell ref="G69:K69"/>
    <mergeCell ref="A77:C77"/>
    <mergeCell ref="E77:F77"/>
    <mergeCell ref="A78:C78"/>
    <mergeCell ref="E78:F78"/>
    <mergeCell ref="A109:F109"/>
    <mergeCell ref="A81:F81"/>
    <mergeCell ref="G81:K81"/>
    <mergeCell ref="A83:F83"/>
    <mergeCell ref="A84:F84"/>
    <mergeCell ref="G84:K84"/>
    <mergeCell ref="A100:C100"/>
    <mergeCell ref="E100:F100"/>
    <mergeCell ref="A101:F101"/>
    <mergeCell ref="A102:F102"/>
    <mergeCell ref="G102:K102"/>
    <mergeCell ref="A108:C108"/>
    <mergeCell ref="E108:F108"/>
    <mergeCell ref="A130:C130"/>
    <mergeCell ref="E130:F130"/>
    <mergeCell ref="A110:F110"/>
    <mergeCell ref="G110:K110"/>
    <mergeCell ref="A111:F111"/>
    <mergeCell ref="A115:C115"/>
    <mergeCell ref="E115:F115"/>
    <mergeCell ref="A117:F117"/>
    <mergeCell ref="G117:K117"/>
    <mergeCell ref="C118:C121"/>
    <mergeCell ref="A122:C122"/>
    <mergeCell ref="E122:F122"/>
    <mergeCell ref="A124:F124"/>
    <mergeCell ref="G124:K124"/>
    <mergeCell ref="A131:F131"/>
    <mergeCell ref="A132:F132"/>
    <mergeCell ref="G132:K132"/>
    <mergeCell ref="C133:C135"/>
    <mergeCell ref="A136:C136"/>
    <mergeCell ref="E136:F136"/>
    <mergeCell ref="G138:K138"/>
    <mergeCell ref="A140:C140"/>
    <mergeCell ref="E140:F140"/>
    <mergeCell ref="A141:F141"/>
    <mergeCell ref="A142:C142"/>
    <mergeCell ref="E142:F142"/>
    <mergeCell ref="A143:F143"/>
    <mergeCell ref="A144:C144"/>
    <mergeCell ref="E144:F144"/>
    <mergeCell ref="A146:F146"/>
    <mergeCell ref="A138:F138"/>
  </mergeCells>
  <printOptions horizontalCentered="1" verticalCentered="1"/>
  <pageMargins left="0.31496062992125984" right="0.31496062992125984" top="0.35433070866141736" bottom="0.1968503937007874" header="0.31496062992125984" footer="0.31496062992125984"/>
  <pageSetup fitToHeight="15" fitToWidth="15" horizontalDpi="600" verticalDpi="6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srodriguezp</dc:creator>
  <cp:keywords/>
  <dc:description/>
  <cp:lastModifiedBy>WebMaster</cp:lastModifiedBy>
  <cp:lastPrinted>2015-01-30T18:10:39Z</cp:lastPrinted>
  <dcterms:created xsi:type="dcterms:W3CDTF">2005-12-12T22:06:56Z</dcterms:created>
  <dcterms:modified xsi:type="dcterms:W3CDTF">2015-05-26T15:21:14Z</dcterms:modified>
  <cp:category/>
  <cp:version/>
  <cp:contentType/>
  <cp:contentStatus/>
</cp:coreProperties>
</file>